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9870" activeTab="3"/>
  </bookViews>
  <sheets>
    <sheet name="прайс" sheetId="1" r:id="rId1"/>
    <sheet name="букеты новог" sheetId="2" r:id="rId2"/>
    <sheet name="ель новог 2019" sheetId="3" r:id="rId3"/>
    <sheet name="прайс (2)" sheetId="4" r:id="rId4"/>
  </sheets>
  <definedNames>
    <definedName name="_xlnm.Print_Area" localSheetId="1">'букеты новог'!$A$1:$Y$60</definedName>
    <definedName name="_xlnm.Print_Area" localSheetId="2">'ель новог 2019'!$A$1:$AB$148</definedName>
    <definedName name="_xlnm.Print_Area" localSheetId="0">'прайс'!$A$1:$M$71</definedName>
    <definedName name="_xlnm.Print_Area" localSheetId="3">'прайс (2)'!$A$1:$M$99</definedName>
  </definedNames>
  <calcPr fullCalcOnLoad="1"/>
</workbook>
</file>

<file path=xl/comments2.xml><?xml version="1.0" encoding="utf-8"?>
<comments xmlns="http://schemas.openxmlformats.org/spreadsheetml/2006/main">
  <authors>
    <author>11</author>
  </authors>
  <commentList>
    <comment ref="O110" authorId="0">
      <text>
        <r>
          <rPr>
            <sz val="10"/>
            <rFont val="Times New Roman"/>
            <family val="0"/>
          </rPr>
          <t>Введите норму выработки на лесовоз</t>
        </r>
      </text>
    </comment>
    <comment ref="O46" authorId="0">
      <text>
        <r>
          <rPr>
            <sz val="10"/>
            <rFont val="Times New Roman"/>
            <family val="0"/>
          </rPr>
          <t>Введите норму выработки на лесовоз</t>
        </r>
      </text>
    </comment>
  </commentList>
</comments>
</file>

<file path=xl/comments3.xml><?xml version="1.0" encoding="utf-8"?>
<comments xmlns="http://schemas.openxmlformats.org/spreadsheetml/2006/main">
  <authors>
    <author>11</author>
  </authors>
  <commentList>
    <comment ref="W46" authorId="0">
      <text>
        <r>
          <rPr>
            <sz val="10"/>
            <rFont val="Times New Roman"/>
            <family val="0"/>
          </rPr>
          <t xml:space="preserve">Линейная норма              40л/100км
Грузовая работа            + 1.3л на 100тонн/км
</t>
        </r>
      </text>
    </comment>
    <comment ref="W47" authorId="0">
      <text>
        <r>
          <rPr>
            <sz val="10"/>
            <rFont val="Times New Roman"/>
            <family val="0"/>
          </rPr>
          <t xml:space="preserve">УРАЛ-4320, 
2 гр.дорог,
13кбм, стр.83
</t>
        </r>
      </text>
    </comment>
    <comment ref="W49" authorId="0">
      <text>
        <r>
          <rPr>
            <sz val="10"/>
            <rFont val="Times New Roman"/>
            <family val="0"/>
          </rPr>
          <t>Погруз разгруз работы   0.45л/куб</t>
        </r>
      </text>
    </comment>
    <comment ref="R79" authorId="0">
      <text>
        <r>
          <rPr>
            <sz val="10"/>
            <rFont val="Times New Roman"/>
            <family val="0"/>
          </rPr>
          <t>Введите норму выработки на лесовоз</t>
        </r>
      </text>
    </comment>
    <comment ref="R110" authorId="0">
      <text>
        <r>
          <rPr>
            <sz val="10"/>
            <rFont val="Times New Roman"/>
            <family val="0"/>
          </rPr>
          <t>Введите норму выработки на лесовоз</t>
        </r>
      </text>
    </comment>
  </commentList>
</comments>
</file>

<file path=xl/sharedStrings.xml><?xml version="1.0" encoding="utf-8"?>
<sst xmlns="http://schemas.openxmlformats.org/spreadsheetml/2006/main" count="683" uniqueCount="266">
  <si>
    <t>Доставка до лесхоза (лесничества)</t>
  </si>
  <si>
    <t>Расходы на содержание и эксплуатацию оборудования</t>
  </si>
  <si>
    <t>Длина</t>
  </si>
  <si>
    <t xml:space="preserve">Расценка </t>
  </si>
  <si>
    <t>Длина, м</t>
  </si>
  <si>
    <t>тар. ставка</t>
  </si>
  <si>
    <t>коэф.</t>
  </si>
  <si>
    <t>раб.вр.</t>
  </si>
  <si>
    <t>час</t>
  </si>
  <si>
    <t>нор. выр.</t>
  </si>
  <si>
    <t>Итого, рублей</t>
  </si>
  <si>
    <t>до 1 м</t>
  </si>
  <si>
    <t>до 1.0 м</t>
  </si>
  <si>
    <t>1-2.5 м</t>
  </si>
  <si>
    <t>от 1.01 до 2.0 м</t>
  </si>
  <si>
    <t>Расходы</t>
  </si>
  <si>
    <t>Н.рас.</t>
  </si>
  <si>
    <t>Цена, руб</t>
  </si>
  <si>
    <t>Ст-ть, руб.</t>
  </si>
  <si>
    <t>КАЛЬКУЛЯЦИЯ</t>
  </si>
  <si>
    <t>от 2.01 до 3.0 м</t>
  </si>
  <si>
    <t>от 3.01 до 4.0 м</t>
  </si>
  <si>
    <t>Ср. расстояние доставки, км</t>
  </si>
  <si>
    <t>от 4.01 до 5.0 м</t>
  </si>
  <si>
    <t>Норма выработки, м3</t>
  </si>
  <si>
    <t>№ п/п</t>
  </si>
  <si>
    <t>Наименование  статей  затрат</t>
  </si>
  <si>
    <t>%</t>
  </si>
  <si>
    <t>Затраты  в  рублях</t>
  </si>
  <si>
    <t>от 5.01 м и более</t>
  </si>
  <si>
    <t xml:space="preserve"> 1.01- 2.0</t>
  </si>
  <si>
    <t>2.01-3.0</t>
  </si>
  <si>
    <t>3.01-4.0</t>
  </si>
  <si>
    <t>4.01-5.0</t>
  </si>
  <si>
    <t>Условия труда</t>
  </si>
  <si>
    <t>норма выработки</t>
  </si>
  <si>
    <t>Амортизация и з/части, руб</t>
  </si>
  <si>
    <t>Сырьё  и  материалы</t>
  </si>
  <si>
    <t>Высота Ели</t>
  </si>
  <si>
    <t>Норма выработки, шт</t>
  </si>
  <si>
    <t>Зарплата  и  налоги</t>
  </si>
  <si>
    <t>в т.ч. попенная плата</t>
  </si>
  <si>
    <t>Заготовка</t>
  </si>
  <si>
    <t>Погрузка</t>
  </si>
  <si>
    <t>Разгрузка</t>
  </si>
  <si>
    <t>Итого сырья и материалов</t>
  </si>
  <si>
    <t>Сумма, рублей</t>
  </si>
  <si>
    <t>Основная и дополнительная зарплата</t>
  </si>
  <si>
    <t>Отчисления на соцстрах</t>
  </si>
  <si>
    <t>Отчисления в фонд занятости и ЧН</t>
  </si>
  <si>
    <t>РСЭО</t>
  </si>
  <si>
    <t>Вывозка</t>
  </si>
  <si>
    <t>до 1</t>
  </si>
  <si>
    <t>1.1-2.0</t>
  </si>
  <si>
    <t>2.1-3.0</t>
  </si>
  <si>
    <t>3.1-4.0</t>
  </si>
  <si>
    <t>4.1-5.0</t>
  </si>
  <si>
    <t>5.01 и б</t>
  </si>
  <si>
    <t>Тарифная ставка I разряда (хозрасчет)</t>
  </si>
  <si>
    <t>рублей</t>
  </si>
  <si>
    <t>Расценка</t>
  </si>
  <si>
    <t>Общепроизводственные расходы</t>
  </si>
  <si>
    <t>Среднемесячная норма рабочего времени</t>
  </si>
  <si>
    <t>Прочие затраты(инновационный фонд)</t>
  </si>
  <si>
    <t xml:space="preserve">Повышающий коэффициент </t>
  </si>
  <si>
    <t>Прогрессивка</t>
  </si>
  <si>
    <t>Внепроизводственные  расходы</t>
  </si>
  <si>
    <t>Время 1 смены</t>
  </si>
  <si>
    <t>Выслуга</t>
  </si>
  <si>
    <t>Итого себестоимость продукции</t>
  </si>
  <si>
    <t>Класность</t>
  </si>
  <si>
    <t>Доставка до торговой точки</t>
  </si>
  <si>
    <t>Прибыль</t>
  </si>
  <si>
    <t>Новая тариф. ставка</t>
  </si>
  <si>
    <t>Отпускные</t>
  </si>
  <si>
    <t>пов. коэф.</t>
  </si>
  <si>
    <t>тариф. коэф</t>
  </si>
  <si>
    <t>Итого:</t>
  </si>
  <si>
    <t>ИТОГО</t>
  </si>
  <si>
    <t>III</t>
  </si>
  <si>
    <t>Состав основной и дополнительной зароботной платы</t>
  </si>
  <si>
    <t>Сумма НДС</t>
  </si>
  <si>
    <t>Розничная цена без НДС</t>
  </si>
  <si>
    <t>Профмастерство</t>
  </si>
  <si>
    <t>Розничная цена с НДС</t>
  </si>
  <si>
    <t>Норма расхода 100 км, л.</t>
  </si>
  <si>
    <t>Нагрузка на рейс,м3</t>
  </si>
  <si>
    <t>Ср. расстояние вывозки, км</t>
  </si>
  <si>
    <t>Норма расхода на погр-разгр. 1 м3,л</t>
  </si>
  <si>
    <t>Норма расхода СМ на 1л ДТ, кг</t>
  </si>
  <si>
    <t>Стоимость услуг по доставке до торговой точки</t>
  </si>
  <si>
    <t>Утверждаю:</t>
  </si>
  <si>
    <t>ПРЕЙСКУРАНТ ОТПУСКНЫХ ЦЕН</t>
  </si>
  <si>
    <t>ТУ РБ 00969296.004-97</t>
  </si>
  <si>
    <t>Наименование товаров            (работ, услуг)</t>
  </si>
  <si>
    <t>в ы с о т а</t>
  </si>
  <si>
    <t>от 1.01 до 2 м</t>
  </si>
  <si>
    <t>от 2.01 до 3 м</t>
  </si>
  <si>
    <t>от 3.01 до 4 м</t>
  </si>
  <si>
    <t>от 4.01 до 5 м</t>
  </si>
  <si>
    <t>.Директор ГЛХУ "Витебский  лесхоз"</t>
  </si>
  <si>
    <t>________________ П.Т.Жилинский</t>
  </si>
  <si>
    <t xml:space="preserve">                                                                                                                                                                         УТВЕРЖДАЮ</t>
  </si>
  <si>
    <t>Доставка до склада лесхоза (лесничества)</t>
  </si>
  <si>
    <t>Норма расхода А-80 на 100 км, л.</t>
  </si>
  <si>
    <t>Норма расхода СМ на 1л А-80, л</t>
  </si>
  <si>
    <t>от 5.0 м и более</t>
  </si>
  <si>
    <t>5.01 м и б</t>
  </si>
  <si>
    <t>1.</t>
  </si>
  <si>
    <t>3.</t>
  </si>
  <si>
    <t>Длина ели, м</t>
  </si>
  <si>
    <t>4.</t>
  </si>
  <si>
    <t>5.</t>
  </si>
  <si>
    <t>Обязательное страхование от несч случаев</t>
  </si>
  <si>
    <t>Расходы на содержание и эксплуатацию оборудования                                              ( ГСМ, амортизация, расходы на оплату труда)</t>
  </si>
  <si>
    <t>IV</t>
  </si>
  <si>
    <t>V</t>
  </si>
  <si>
    <t>VI</t>
  </si>
  <si>
    <t>Отчисления по общему нормативу (жил.-инвест. фонд, ведомственное жильё, стабилизационный фонд)</t>
  </si>
  <si>
    <t>Расчет сырья и  материалов</t>
  </si>
  <si>
    <t>Решение Витебского областного исполнительного комитета от 27 июля 2005 г. № 495 "Об утверждении такс за побочные лесные пользования и заготовку второстепенных лесных ресурсов"</t>
  </si>
  <si>
    <t>Такса, руб</t>
  </si>
  <si>
    <t>Высота ели</t>
  </si>
  <si>
    <t>Отпускная цена ,без НДС, склад лесхоза (лесничества)</t>
  </si>
  <si>
    <t>Отпскная цена  с НДС, склад лесхоза (лесничества)</t>
  </si>
  <si>
    <t xml:space="preserve">2.6 м и б </t>
  </si>
  <si>
    <t>рентабельность %</t>
  </si>
  <si>
    <t>Сумма торговой надбавки</t>
  </si>
  <si>
    <t xml:space="preserve">Тарифная ставка лесоруба 3 разряда </t>
  </si>
  <si>
    <t>руб.</t>
  </si>
  <si>
    <t>1.01-2.0</t>
  </si>
  <si>
    <t>Торговая надбавка %</t>
  </si>
  <si>
    <t>Увел по контракту</t>
  </si>
  <si>
    <t>Транспортные расходы по доставке на торговую точку</t>
  </si>
  <si>
    <t>Торговая надбавка</t>
  </si>
  <si>
    <t>Расстояние вывозки 50 км, 2 группа дорог</t>
  </si>
  <si>
    <t>от 5.01 и б м</t>
  </si>
  <si>
    <t xml:space="preserve">до 1 м </t>
  </si>
  <si>
    <t>1.01-2.0 м</t>
  </si>
  <si>
    <t>2.01-3.0 м</t>
  </si>
  <si>
    <t>3.01- 4.0 м</t>
  </si>
  <si>
    <t>4.01-5.0м</t>
  </si>
  <si>
    <t>Классность</t>
  </si>
  <si>
    <t>2.01 -3.0 м</t>
  </si>
  <si>
    <t>4.01-5.0 м</t>
  </si>
  <si>
    <t>Тарифный коэффициент 2.12</t>
  </si>
  <si>
    <t>Обязат страхование от несч случаев</t>
  </si>
  <si>
    <t>Прочие затраты (инновационный фонд)</t>
  </si>
  <si>
    <t>Отчисления единым платежом</t>
  </si>
  <si>
    <t>Отпускная цена без НДС, (лесничества)</t>
  </si>
  <si>
    <t>Отпускная цена с НДС, (лесничества)</t>
  </si>
  <si>
    <t>6.01-7.0</t>
  </si>
  <si>
    <t>7.01-8.0</t>
  </si>
  <si>
    <t>8.01-9.0</t>
  </si>
  <si>
    <t>9.01-10.0</t>
  </si>
  <si>
    <t>10.01-11.0</t>
  </si>
  <si>
    <t>11.01-12.0</t>
  </si>
  <si>
    <t>12.01-13.0</t>
  </si>
  <si>
    <t>13.01-14.0</t>
  </si>
  <si>
    <t>14.01-15.0</t>
  </si>
  <si>
    <t>15.01-16.0</t>
  </si>
  <si>
    <t>16.01-17.0</t>
  </si>
  <si>
    <t>17.01-18.0</t>
  </si>
  <si>
    <t>18.01-19.0</t>
  </si>
  <si>
    <t>19.01-20.0</t>
  </si>
  <si>
    <t>20.1-21.0</t>
  </si>
  <si>
    <t>21.01-22.0</t>
  </si>
  <si>
    <t>22.01-23.0</t>
  </si>
  <si>
    <t>23.01-24.0</t>
  </si>
  <si>
    <t>24.01-25.0</t>
  </si>
  <si>
    <t>25.01-26.0</t>
  </si>
  <si>
    <t>26.01-27.0</t>
  </si>
  <si>
    <t>27.01-28.0</t>
  </si>
  <si>
    <t>28.01-29.0</t>
  </si>
  <si>
    <t>29.01-30.0</t>
  </si>
  <si>
    <t>5.01-6.0</t>
  </si>
  <si>
    <t>Отпускные цены на торговой точке в г. Витебске</t>
  </si>
  <si>
    <t>Вывозка тракторами МТЗ -82</t>
  </si>
  <si>
    <t>Норма расхода ДТ на 100 км, л.</t>
  </si>
  <si>
    <t>Скорость трактора в час 24 км .норма расхода на 1 час 7.2 л .что бы пройти 100 км нужно затратить           4 часа                  4*7.2=28.8 л</t>
  </si>
  <si>
    <t>Норма расхода СМ на 1л ДТ, л</t>
  </si>
  <si>
    <t>Расчет заработной платы</t>
  </si>
  <si>
    <t>стоимости букетов ели (сосны) новогодних, ТУ РБ 100195503.017-2006</t>
  </si>
  <si>
    <t>Заг-ка</t>
  </si>
  <si>
    <t>Итого</t>
  </si>
  <si>
    <t>ель (сосна) без шишек</t>
  </si>
  <si>
    <t>ель (сосна) с шишками</t>
  </si>
  <si>
    <t>Отпускная цена без НДС</t>
  </si>
  <si>
    <t>Рентабельность %</t>
  </si>
  <si>
    <t>Букеты ели (сосны )новогодней реализуемые на торговых точках г. Витебска</t>
  </si>
  <si>
    <t>Приложение 1 к приказу № 461 от 1.12.2009 г.</t>
  </si>
  <si>
    <t>ТУ РБ 00969296.004-97 и ТУ РБ 100195503.017-2006</t>
  </si>
  <si>
    <t>букеты новогодние ель (сосна)</t>
  </si>
  <si>
    <t>букет</t>
  </si>
  <si>
    <t>пов.коэф.</t>
  </si>
  <si>
    <t>тар.коэф</t>
  </si>
  <si>
    <t>тар.ставка</t>
  </si>
  <si>
    <t>Затраты  в  рублях             на букет</t>
  </si>
  <si>
    <t>ель (сосна)      с шишками</t>
  </si>
  <si>
    <t>Розничная цена с НДС  на условиях франко-склад назначения г. Витебск</t>
  </si>
  <si>
    <t>Розничная цена с НДС  (на торговых точках кроме г. Витебска)</t>
  </si>
  <si>
    <t xml:space="preserve">Розничная цена с НДС </t>
  </si>
  <si>
    <t>Расходы на содержание и эксплуатацию оборудования  (ГСМ, амортизация, расходы на оплату труда)</t>
  </si>
  <si>
    <t>Сумма НДС               20 %</t>
  </si>
  <si>
    <t>Сумма НДС 20 %</t>
  </si>
  <si>
    <t>Расстояние вывозки 35 км, 2 группа дорог</t>
  </si>
  <si>
    <t xml:space="preserve">Цена без НДС </t>
  </si>
  <si>
    <t>Цена с НДС и торговой надбавкой</t>
  </si>
  <si>
    <t>торговая надбавка</t>
  </si>
  <si>
    <t>от 5.01 и 6 м</t>
  </si>
  <si>
    <t>Сумма НДС, 20 %</t>
  </si>
  <si>
    <t>Деревья новогодние, реализуемые на складах (лесничества)</t>
  </si>
  <si>
    <t>Деревья новогодние, реализуемые на торговых точках (кроме г.Витебска)</t>
  </si>
  <si>
    <t>Деревья новогодние, реализуемые на торговых точках г.Витебска</t>
  </si>
  <si>
    <t>Высота дерева, м</t>
  </si>
  <si>
    <t>стоимости на деревья новогоднии ( ели, сосна, пихта), ТУ РБ 00969296.004-97</t>
  </si>
  <si>
    <t>Скорость трактора в час 24 км .норма расхода на 1 час 7.3 л .что бы пройти 100 км нужно затратить           4 часа                  4*7.3=29.2 л</t>
  </si>
  <si>
    <t>Вывозка а/м МАЗ</t>
  </si>
  <si>
    <t xml:space="preserve">Приложение № 1 </t>
  </si>
  <si>
    <t>Состав основной и дополнительной заработной платы</t>
  </si>
  <si>
    <t>Доставка до торговой точки (кроме г. Витебска)</t>
  </si>
  <si>
    <t>Управленческие расходы</t>
  </si>
  <si>
    <t>Месяц</t>
  </si>
  <si>
    <t>Сумма, тыс. руб.</t>
  </si>
  <si>
    <t>сч.26</t>
  </si>
  <si>
    <t>июль</t>
  </si>
  <si>
    <t>август</t>
  </si>
  <si>
    <t>сентябрь</t>
  </si>
  <si>
    <t>Средний процент</t>
  </si>
  <si>
    <t>Норма расхода А-92 на 100 км, л.</t>
  </si>
  <si>
    <t>Норма расхода СМ на 1л А-92, л</t>
  </si>
  <si>
    <t>Прочие</t>
  </si>
  <si>
    <t>Тарифная ставка навальщик-свальщик  3 разряда 3.97 руб</t>
  </si>
  <si>
    <t>2015 год</t>
  </si>
  <si>
    <t>год</t>
  </si>
  <si>
    <t>Погрузка новогодних букетов на              ГАЗ 66 410 шт</t>
  </si>
  <si>
    <t>Погрузка новогодних букетов на ГАЗ 3303 410 шт</t>
  </si>
  <si>
    <t>_____________________</t>
  </si>
  <si>
    <t xml:space="preserve"> на деревья новогодние (ель, сосна, пихта) и букеты  новогодние, реализуемые ГЛХУ "______________  лесхоз"</t>
  </si>
  <si>
    <t>Директор ГЛХУ "_____________ лесхоз"</t>
  </si>
  <si>
    <t>к приказу № _______ от ____.11.2016 г.</t>
  </si>
  <si>
    <t>Поставьте свои цены прошлого года</t>
  </si>
  <si>
    <t>сч.90 (выручка) без НДС</t>
  </si>
  <si>
    <t xml:space="preserve"> Директор ГЛХУ "Шумилинский лесхоз"</t>
  </si>
  <si>
    <t>Л.М.Сильвестрова</t>
  </si>
  <si>
    <t>Экономист                                                                            Л.М.Сильвестрова</t>
  </si>
  <si>
    <t>Директор ГЛХУ "Шумилинский лесхоз"</t>
  </si>
  <si>
    <t>__________________А.С.Лабынцев</t>
  </si>
  <si>
    <t>_____________А.С.Лабынцев</t>
  </si>
  <si>
    <t>________________А.С.Лабынцев</t>
  </si>
  <si>
    <t xml:space="preserve">Букеты ели (сосны )новогодней реализуемые на торговых точках </t>
  </si>
  <si>
    <t xml:space="preserve">                                                                 УТВЕРЖДАЮ</t>
  </si>
  <si>
    <t>5.01 м - 6.0</t>
  </si>
  <si>
    <t>5.84</t>
  </si>
  <si>
    <t>Вывозка а/м ГАЗ 330273</t>
  </si>
  <si>
    <t>Начальник ПЭС</t>
  </si>
  <si>
    <t>Начальник ПЭС                                                                              Л.М.Сильвестрова</t>
  </si>
  <si>
    <t>Исп  Малашонок АН</t>
  </si>
  <si>
    <t>09.12.2019 г.</t>
  </si>
  <si>
    <t>к приказу № ____ от 09.12.2019 г.</t>
  </si>
  <si>
    <t xml:space="preserve"> на деревья новогодние (ель, сосна) и букеты  новогодние, реализуемые                                                        ГЛХУ "Шумилинский  лесхоз"</t>
  </si>
  <si>
    <t>Исп Малашонок АН</t>
  </si>
  <si>
    <t>2. Деревья новогодние, реализуемые на торговых точках (кроме г.Витебска)</t>
  </si>
  <si>
    <t>1. Деревья новогодние, реализуемые на складах (лесничества)</t>
  </si>
  <si>
    <t>3. Деревья новогодние, реализуемые на торговых точках г.Витебска</t>
  </si>
  <si>
    <t>Ель колючая в кадке высота 0.5-1.0м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</si>
</sst>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_р_._-;\-* #,##0_р_._-;_-* &quot;-&quot;??_р_._-;_-@_-"/>
    <numFmt numFmtId="175" formatCode="0.0000"/>
    <numFmt numFmtId="176" formatCode="0.0%"/>
    <numFmt numFmtId="177" formatCode="0.000"/>
    <numFmt numFmtId="178" formatCode="0.00000"/>
    <numFmt numFmtId="179" formatCode="_-* #,##0.000_р_._-;\-* #,##0.000_р_._-;_-* &quot;-&quot;??_р_._-;_-@_-"/>
    <numFmt numFmtId="180" formatCode="0.0000000"/>
    <numFmt numFmtId="181" formatCode="0.000000"/>
    <numFmt numFmtId="182" formatCode="0.00000000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_р_."/>
    <numFmt numFmtId="189" formatCode="[$-FC19]d\ mmmm\ yyyy\ &quot;г.&quot;"/>
    <numFmt numFmtId="190" formatCode="#,##0.0_р_."/>
    <numFmt numFmtId="191" formatCode="#,##0.00_р_."/>
  </numFmts>
  <fonts count="101">
    <font>
      <sz val="10"/>
      <name val="Times New Roman"/>
      <family val="0"/>
    </font>
    <font>
      <b/>
      <i/>
      <sz val="12"/>
      <name val="Times New Roman Cyr"/>
      <family val="1"/>
    </font>
    <font>
      <b/>
      <i/>
      <sz val="12"/>
      <color indexed="12"/>
      <name val="Times New Roman"/>
      <family val="1"/>
    </font>
    <font>
      <b/>
      <i/>
      <sz val="13"/>
      <color indexed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i/>
      <u val="single"/>
      <sz val="12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i/>
      <sz val="10"/>
      <name val="Times New Roman Cyr"/>
      <family val="1"/>
    </font>
    <font>
      <b/>
      <i/>
      <sz val="12"/>
      <name val="Bookman Old Style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"/>
      <family val="1"/>
    </font>
    <font>
      <b/>
      <i/>
      <u val="single"/>
      <sz val="10"/>
      <name val="Times New Roman Cyr"/>
      <family val="1"/>
    </font>
    <font>
      <sz val="10"/>
      <name val="Times New Roman Cyr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b/>
      <i/>
      <sz val="13"/>
      <color indexed="12"/>
      <name val="Times New Roman"/>
      <family val="1"/>
    </font>
    <font>
      <sz val="9"/>
      <name val="Times New Roman"/>
      <family val="1"/>
    </font>
    <font>
      <b/>
      <i/>
      <sz val="10"/>
      <color indexed="1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color indexed="12"/>
      <name val="Times New Roman Cyr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sz val="12"/>
      <name val="Times New Roman Cyr"/>
      <family val="0"/>
    </font>
    <font>
      <b/>
      <sz val="11"/>
      <color indexed="12"/>
      <name val="Times New Roman"/>
      <family val="1"/>
    </font>
    <font>
      <i/>
      <sz val="12"/>
      <color indexed="12"/>
      <name val="Times New Roman Cyr"/>
      <family val="1"/>
    </font>
    <font>
      <b/>
      <i/>
      <sz val="13"/>
      <name val="Times New Roman Cyr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Arial Cyr"/>
      <family val="2"/>
    </font>
    <font>
      <b/>
      <i/>
      <sz val="14"/>
      <color indexed="62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0"/>
    </font>
    <font>
      <sz val="11"/>
      <name val="Arial Narrow"/>
      <family val="2"/>
    </font>
    <font>
      <b/>
      <i/>
      <sz val="15"/>
      <name val="Times New Roman"/>
      <family val="1"/>
    </font>
    <font>
      <sz val="12"/>
      <name val="Arial Cyr"/>
      <family val="0"/>
    </font>
    <font>
      <b/>
      <sz val="12"/>
      <name val="Vivald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12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2" xfId="0" applyFont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13" xfId="0" applyFont="1" applyBorder="1" applyAlignment="1" applyProtection="1">
      <alignment/>
      <protection locked="0"/>
    </xf>
    <xf numFmtId="1" fontId="31" fillId="0" borderId="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/>
      <protection locked="0"/>
    </xf>
    <xf numFmtId="1" fontId="19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20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3" fillId="0" borderId="21" xfId="0" applyFont="1" applyBorder="1" applyAlignment="1">
      <alignment horizontal="right"/>
    </xf>
    <xf numFmtId="1" fontId="3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" fontId="19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35" fillId="0" borderId="0" xfId="0" applyNumberFormat="1" applyFont="1" applyBorder="1" applyAlignment="1">
      <alignment horizontal="center"/>
    </xf>
    <xf numFmtId="172" fontId="24" fillId="0" borderId="2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24" fillId="0" borderId="21" xfId="0" applyFont="1" applyBorder="1" applyAlignment="1">
      <alignment/>
    </xf>
    <xf numFmtId="0" fontId="6" fillId="0" borderId="0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9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24" fillId="0" borderId="25" xfId="0" applyFont="1" applyBorder="1" applyAlignment="1">
      <alignment/>
    </xf>
    <xf numFmtId="0" fontId="24" fillId="0" borderId="2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23" fillId="0" borderId="26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9" fillId="0" borderId="11" xfId="0" applyFont="1" applyBorder="1" applyAlignment="1">
      <alignment/>
    </xf>
    <xf numFmtId="9" fontId="9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172" fontId="29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"/>
    </xf>
    <xf numFmtId="172" fontId="29" fillId="0" borderId="0" xfId="0" applyNumberFormat="1" applyFont="1" applyAlignment="1">
      <alignment/>
    </xf>
    <xf numFmtId="9" fontId="0" fillId="35" borderId="1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9" fontId="0" fillId="0" borderId="11" xfId="0" applyNumberFormat="1" applyBorder="1" applyAlignment="1">
      <alignment horizontal="center"/>
    </xf>
    <xf numFmtId="9" fontId="23" fillId="0" borderId="11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0" fontId="39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2" fillId="0" borderId="2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75" fontId="0" fillId="36" borderId="11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75" fontId="0" fillId="36" borderId="3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75" fontId="0" fillId="36" borderId="3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9" fontId="42" fillId="0" borderId="0" xfId="0" applyNumberFormat="1" applyFont="1" applyBorder="1" applyAlignment="1">
      <alignment horizontal="right"/>
    </xf>
    <xf numFmtId="10" fontId="42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 vertical="center"/>
    </xf>
    <xf numFmtId="176" fontId="42" fillId="0" borderId="0" xfId="0" applyNumberFormat="1" applyFont="1" applyBorder="1" applyAlignment="1">
      <alignment horizontal="right" vertical="center" wrapText="1"/>
    </xf>
    <xf numFmtId="176" fontId="4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1" fillId="0" borderId="26" xfId="0" applyFont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 horizontal="center"/>
    </xf>
    <xf numFmtId="175" fontId="0" fillId="36" borderId="42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5" fillId="0" borderId="44" xfId="0" applyFont="1" applyBorder="1" applyAlignment="1" applyProtection="1">
      <alignment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locked="0"/>
    </xf>
    <xf numFmtId="0" fontId="15" fillId="0" borderId="46" xfId="0" applyFont="1" applyBorder="1" applyAlignment="1" applyProtection="1">
      <alignment/>
      <protection locked="0"/>
    </xf>
    <xf numFmtId="0" fontId="15" fillId="0" borderId="47" xfId="0" applyFont="1" applyBorder="1" applyAlignment="1" applyProtection="1">
      <alignment/>
      <protection locked="0"/>
    </xf>
    <xf numFmtId="0" fontId="17" fillId="0" borderId="46" xfId="0" applyFont="1" applyFill="1" applyBorder="1" applyAlignment="1" applyProtection="1">
      <alignment/>
      <protection locked="0"/>
    </xf>
    <xf numFmtId="0" fontId="17" fillId="0" borderId="46" xfId="0" applyFont="1" applyBorder="1" applyAlignment="1" applyProtection="1">
      <alignment/>
      <protection locked="0"/>
    </xf>
    <xf numFmtId="0" fontId="17" fillId="0" borderId="48" xfId="0" applyFont="1" applyFill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 locked="0"/>
    </xf>
    <xf numFmtId="172" fontId="0" fillId="0" borderId="0" xfId="0" applyNumberFormat="1" applyBorder="1" applyAlignment="1">
      <alignment horizontal="center"/>
    </xf>
    <xf numFmtId="9" fontId="0" fillId="35" borderId="0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35" borderId="50" xfId="0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35" fillId="0" borderId="50" xfId="0" applyFont="1" applyBorder="1" applyAlignment="1" applyProtection="1">
      <alignment horizontal="center"/>
      <protection locked="0"/>
    </xf>
    <xf numFmtId="0" fontId="41" fillId="0" borderId="5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26" fillId="0" borderId="52" xfId="0" applyFont="1" applyBorder="1" applyAlignment="1">
      <alignment horizontal="center"/>
    </xf>
    <xf numFmtId="1" fontId="13" fillId="0" borderId="52" xfId="0" applyNumberFormat="1" applyFont="1" applyBorder="1" applyAlignment="1">
      <alignment horizontal="center"/>
    </xf>
    <xf numFmtId="1" fontId="14" fillId="0" borderId="53" xfId="0" applyNumberFormat="1" applyFont="1" applyBorder="1" applyAlignment="1">
      <alignment horizontal="center"/>
    </xf>
    <xf numFmtId="1" fontId="14" fillId="0" borderId="54" xfId="0" applyNumberFormat="1" applyFont="1" applyBorder="1" applyAlignment="1">
      <alignment horizontal="center"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35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5" fontId="0" fillId="36" borderId="0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" fontId="37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22" fillId="0" borderId="0" xfId="0" applyNumberFormat="1" applyFont="1" applyBorder="1" applyAlignment="1" applyProtection="1">
      <alignment/>
      <protection locked="0"/>
    </xf>
    <xf numFmtId="1" fontId="15" fillId="0" borderId="0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/>
      <protection locked="0"/>
    </xf>
    <xf numFmtId="172" fontId="15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8" fillId="0" borderId="11" xfId="0" applyNumberFormat="1" applyFont="1" applyBorder="1" applyAlignment="1">
      <alignment/>
    </xf>
    <xf numFmtId="1" fontId="19" fillId="35" borderId="59" xfId="0" applyNumberFormat="1" applyFont="1" applyFill="1" applyBorder="1" applyAlignment="1">
      <alignment horizontal="center"/>
    </xf>
    <xf numFmtId="0" fontId="45" fillId="35" borderId="60" xfId="0" applyFont="1" applyFill="1" applyBorder="1" applyAlignment="1">
      <alignment vertical="center" wrapText="1"/>
    </xf>
    <xf numFmtId="0" fontId="19" fillId="35" borderId="61" xfId="0" applyFont="1" applyFill="1" applyBorder="1" applyAlignment="1">
      <alignment wrapText="1"/>
    </xf>
    <xf numFmtId="0" fontId="0" fillId="35" borderId="32" xfId="0" applyFill="1" applyBorder="1" applyAlignment="1">
      <alignment/>
    </xf>
    <xf numFmtId="0" fontId="38" fillId="35" borderId="32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left"/>
    </xf>
    <xf numFmtId="0" fontId="93" fillId="0" borderId="0" xfId="0" applyFont="1" applyAlignment="1">
      <alignment horizontal="right"/>
    </xf>
    <xf numFmtId="172" fontId="93" fillId="0" borderId="0" xfId="0" applyNumberFormat="1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10" xfId="0" applyFont="1" applyFill="1" applyBorder="1" applyAlignment="1">
      <alignment horizontal="right"/>
    </xf>
    <xf numFmtId="172" fontId="94" fillId="0" borderId="0" xfId="0" applyNumberFormat="1" applyFont="1" applyAlignment="1">
      <alignment horizontal="center"/>
    </xf>
    <xf numFmtId="0" fontId="0" fillId="0" borderId="26" xfId="0" applyBorder="1" applyAlignment="1">
      <alignment/>
    </xf>
    <xf numFmtId="3" fontId="8" fillId="0" borderId="62" xfId="0" applyNumberFormat="1" applyFont="1" applyBorder="1" applyAlignment="1">
      <alignment/>
    </xf>
    <xf numFmtId="0" fontId="23" fillId="0" borderId="63" xfId="0" applyFont="1" applyBorder="1" applyAlignment="1">
      <alignment/>
    </xf>
    <xf numFmtId="0" fontId="29" fillId="0" borderId="63" xfId="0" applyFont="1" applyBorder="1" applyAlignment="1">
      <alignment/>
    </xf>
    <xf numFmtId="0" fontId="23" fillId="0" borderId="63" xfId="0" applyFont="1" applyBorder="1" applyAlignment="1">
      <alignment horizontal="left"/>
    </xf>
    <xf numFmtId="0" fontId="23" fillId="35" borderId="64" xfId="0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0" fillId="0" borderId="65" xfId="0" applyFont="1" applyBorder="1" applyAlignment="1">
      <alignment/>
    </xf>
    <xf numFmtId="0" fontId="20" fillId="0" borderId="63" xfId="0" applyFont="1" applyBorder="1" applyAlignment="1">
      <alignment/>
    </xf>
    <xf numFmtId="0" fontId="38" fillId="35" borderId="64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8" fillId="35" borderId="59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33" fillId="0" borderId="11" xfId="0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/>
    </xf>
    <xf numFmtId="172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38" fillId="31" borderId="11" xfId="0" applyFont="1" applyFill="1" applyBorder="1" applyAlignment="1">
      <alignment horizontal="center"/>
    </xf>
    <xf numFmtId="0" fontId="38" fillId="31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11" xfId="0" applyNumberFormat="1" applyBorder="1" applyAlignment="1">
      <alignment horizontal="center"/>
    </xf>
    <xf numFmtId="10" fontId="42" fillId="0" borderId="0" xfId="0" applyNumberFormat="1" applyFont="1" applyBorder="1" applyAlignment="1">
      <alignment horizontal="right" vertical="center" wrapText="1"/>
    </xf>
    <xf numFmtId="10" fontId="24" fillId="0" borderId="11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66" xfId="0" applyFont="1" applyFill="1" applyBorder="1" applyAlignment="1">
      <alignment horizontal="center" wrapText="1"/>
    </xf>
    <xf numFmtId="0" fontId="43" fillId="0" borderId="6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2" fillId="0" borderId="26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52" applyFont="1" applyBorder="1">
      <alignment/>
      <protection/>
    </xf>
    <xf numFmtId="4" fontId="4" fillId="0" borderId="11" xfId="0" applyNumberFormat="1" applyFont="1" applyBorder="1" applyAlignment="1">
      <alignment horizontal="right"/>
    </xf>
    <xf numFmtId="2" fontId="5" fillId="0" borderId="11" xfId="59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2" fontId="8" fillId="0" borderId="11" xfId="0" applyNumberFormat="1" applyFont="1" applyBorder="1" applyAlignment="1" applyProtection="1">
      <alignment horizontal="center"/>
      <protection locked="0"/>
    </xf>
    <xf numFmtId="2" fontId="8" fillId="0" borderId="11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 wrapText="1"/>
    </xf>
    <xf numFmtId="2" fontId="15" fillId="33" borderId="12" xfId="0" applyNumberFormat="1" applyFont="1" applyFill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2" fontId="0" fillId="33" borderId="12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 horizontal="right"/>
      <protection locked="0"/>
    </xf>
    <xf numFmtId="2" fontId="4" fillId="33" borderId="12" xfId="0" applyNumberFormat="1" applyFont="1" applyFill="1" applyBorder="1" applyAlignment="1" applyProtection="1">
      <alignment horizontal="right"/>
      <protection locked="0"/>
    </xf>
    <xf numFmtId="191" fontId="0" fillId="0" borderId="11" xfId="0" applyNumberFormat="1" applyFont="1" applyBorder="1" applyAlignment="1">
      <alignment horizontal="center"/>
    </xf>
    <xf numFmtId="191" fontId="0" fillId="0" borderId="50" xfId="0" applyNumberFormat="1" applyFont="1" applyBorder="1" applyAlignment="1">
      <alignment horizontal="center"/>
    </xf>
    <xf numFmtId="2" fontId="0" fillId="0" borderId="68" xfId="0" applyNumberFormat="1" applyFont="1" applyBorder="1" applyAlignment="1" applyProtection="1">
      <alignment/>
      <protection locked="0"/>
    </xf>
    <xf numFmtId="2" fontId="18" fillId="0" borderId="69" xfId="0" applyNumberFormat="1" applyFont="1" applyBorder="1" applyAlignment="1" applyProtection="1">
      <alignment/>
      <protection locked="0"/>
    </xf>
    <xf numFmtId="4" fontId="11" fillId="0" borderId="11" xfId="0" applyNumberFormat="1" applyFont="1" applyBorder="1" applyAlignment="1">
      <alignment/>
    </xf>
    <xf numFmtId="4" fontId="11" fillId="0" borderId="62" xfId="0" applyNumberFormat="1" applyFont="1" applyBorder="1" applyAlignment="1">
      <alignment/>
    </xf>
    <xf numFmtId="4" fontId="4" fillId="0" borderId="62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4" fontId="37" fillId="0" borderId="11" xfId="0" applyNumberFormat="1" applyFont="1" applyBorder="1" applyAlignment="1">
      <alignment horizontal="right"/>
    </xf>
    <xf numFmtId="4" fontId="37" fillId="0" borderId="62" xfId="0" applyNumberFormat="1" applyFont="1" applyBorder="1" applyAlignment="1">
      <alignment horizontal="right"/>
    </xf>
    <xf numFmtId="4" fontId="37" fillId="0" borderId="50" xfId="0" applyNumberFormat="1" applyFont="1" applyBorder="1" applyAlignment="1">
      <alignment/>
    </xf>
    <xf numFmtId="4" fontId="44" fillId="35" borderId="32" xfId="0" applyNumberFormat="1" applyFont="1" applyFill="1" applyBorder="1" applyAlignment="1">
      <alignment horizontal="right"/>
    </xf>
    <xf numFmtId="4" fontId="44" fillId="35" borderId="71" xfId="0" applyNumberFormat="1" applyFont="1" applyFill="1" applyBorder="1" applyAlignment="1">
      <alignment horizontal="right"/>
    </xf>
    <xf numFmtId="4" fontId="28" fillId="35" borderId="32" xfId="0" applyNumberFormat="1" applyFont="1" applyFill="1" applyBorder="1" applyAlignment="1">
      <alignment/>
    </xf>
    <xf numFmtId="4" fontId="28" fillId="35" borderId="71" xfId="0" applyNumberFormat="1" applyFont="1" applyFill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62" xfId="0" applyNumberFormat="1" applyFont="1" applyBorder="1" applyAlignment="1">
      <alignment/>
    </xf>
    <xf numFmtId="4" fontId="29" fillId="0" borderId="11" xfId="0" applyNumberFormat="1" applyFont="1" applyBorder="1" applyAlignment="1">
      <alignment/>
    </xf>
    <xf numFmtId="4" fontId="29" fillId="0" borderId="62" xfId="0" applyNumberFormat="1" applyFont="1" applyBorder="1" applyAlignment="1">
      <alignment/>
    </xf>
    <xf numFmtId="4" fontId="23" fillId="0" borderId="43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23" fillId="0" borderId="11" xfId="0" applyNumberFormat="1" applyFont="1" applyBorder="1" applyAlignment="1">
      <alignment/>
    </xf>
    <xf numFmtId="2" fontId="37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4" fontId="48" fillId="31" borderId="11" xfId="0" applyNumberFormat="1" applyFont="1" applyFill="1" applyBorder="1" applyAlignment="1">
      <alignment/>
    </xf>
    <xf numFmtId="2" fontId="11" fillId="0" borderId="62" xfId="0" applyNumberFormat="1" applyFont="1" applyBorder="1" applyAlignment="1">
      <alignment horizontal="right"/>
    </xf>
    <xf numFmtId="2" fontId="11" fillId="0" borderId="62" xfId="0" applyNumberFormat="1" applyFont="1" applyBorder="1" applyAlignment="1">
      <alignment horizontal="right" vertical="center" wrapText="1"/>
    </xf>
    <xf numFmtId="2" fontId="11" fillId="0" borderId="71" xfId="0" applyNumberFormat="1" applyFont="1" applyBorder="1" applyAlignment="1">
      <alignment horizontal="right"/>
    </xf>
    <xf numFmtId="2" fontId="8" fillId="0" borderId="50" xfId="0" applyNumberFormat="1" applyFont="1" applyBorder="1" applyAlignment="1" applyProtection="1">
      <alignment horizontal="center"/>
      <protection locked="0"/>
    </xf>
    <xf numFmtId="2" fontId="8" fillId="0" borderId="32" xfId="0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14" fillId="0" borderId="72" xfId="0" applyNumberFormat="1" applyFont="1" applyBorder="1" applyAlignment="1">
      <alignment horizontal="center"/>
    </xf>
    <xf numFmtId="2" fontId="0" fillId="0" borderId="73" xfId="0" applyNumberFormat="1" applyFont="1" applyBorder="1" applyAlignment="1" applyProtection="1">
      <alignment horizontal="right"/>
      <protection locked="0"/>
    </xf>
    <xf numFmtId="4" fontId="20" fillId="0" borderId="11" xfId="0" applyNumberFormat="1" applyFont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32" xfId="0" applyNumberFormat="1" applyFont="1" applyFill="1" applyBorder="1" applyAlignment="1">
      <alignment horizontal="center"/>
    </xf>
    <xf numFmtId="4" fontId="20" fillId="37" borderId="11" xfId="0" applyNumberFormat="1" applyFont="1" applyFill="1" applyBorder="1" applyAlignment="1">
      <alignment horizontal="center" vertical="center"/>
    </xf>
    <xf numFmtId="4" fontId="20" fillId="37" borderId="11" xfId="0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0" fillId="0" borderId="0" xfId="0" applyNumberFormat="1" applyAlignment="1">
      <alignment horizontal="center"/>
    </xf>
    <xf numFmtId="4" fontId="40" fillId="10" borderId="0" xfId="0" applyNumberFormat="1" applyFont="1" applyFill="1" applyAlignment="1">
      <alignment horizontal="center" vertical="center"/>
    </xf>
    <xf numFmtId="0" fontId="40" fillId="10" borderId="0" xfId="0" applyFont="1" applyFill="1" applyAlignment="1">
      <alignment/>
    </xf>
    <xf numFmtId="1" fontId="0" fillId="10" borderId="0" xfId="0" applyNumberFormat="1" applyFont="1" applyFill="1" applyAlignment="1">
      <alignment/>
    </xf>
    <xf numFmtId="1" fontId="40" fillId="10" borderId="0" xfId="0" applyNumberFormat="1" applyFont="1" applyFill="1" applyAlignment="1">
      <alignment horizontal="center" vertical="center"/>
    </xf>
    <xf numFmtId="0" fontId="40" fillId="10" borderId="11" xfId="0" applyFont="1" applyFill="1" applyBorder="1" applyAlignment="1">
      <alignment horizontal="center" vertical="center"/>
    </xf>
    <xf numFmtId="0" fontId="97" fillId="38" borderId="11" xfId="0" applyFont="1" applyFill="1" applyBorder="1" applyAlignment="1">
      <alignment horizontal="center" vertical="center"/>
    </xf>
    <xf numFmtId="1" fontId="98" fillId="38" borderId="0" xfId="0" applyNumberFormat="1" applyFont="1" applyFill="1" applyAlignment="1">
      <alignment horizontal="center" vertical="center"/>
    </xf>
    <xf numFmtId="1" fontId="98" fillId="37" borderId="0" xfId="0" applyNumberFormat="1" applyFont="1" applyFill="1" applyAlignment="1">
      <alignment horizontal="center" vertical="center"/>
    </xf>
    <xf numFmtId="0" fontId="39" fillId="0" borderId="0" xfId="0" applyFont="1" applyAlignment="1">
      <alignment/>
    </xf>
    <xf numFmtId="0" fontId="7" fillId="0" borderId="74" xfId="0" applyFont="1" applyBorder="1" applyAlignment="1">
      <alignment horizontal="center" vertical="center" wrapText="1"/>
    </xf>
    <xf numFmtId="2" fontId="94" fillId="0" borderId="0" xfId="0" applyNumberFormat="1" applyFont="1" applyAlignment="1">
      <alignment/>
    </xf>
    <xf numFmtId="0" fontId="94" fillId="0" borderId="0" xfId="0" applyFont="1" applyAlignment="1">
      <alignment horizontal="right"/>
    </xf>
    <xf numFmtId="0" fontId="94" fillId="0" borderId="0" xfId="0" applyFont="1" applyAlignment="1">
      <alignment/>
    </xf>
    <xf numFmtId="176" fontId="94" fillId="0" borderId="0" xfId="0" applyNumberFormat="1" applyFont="1" applyAlignment="1">
      <alignment horizontal="center"/>
    </xf>
    <xf numFmtId="4" fontId="28" fillId="35" borderId="32" xfId="0" applyNumberFormat="1" applyFont="1" applyFill="1" applyBorder="1" applyAlignment="1">
      <alignment/>
    </xf>
    <xf numFmtId="4" fontId="28" fillId="35" borderId="71" xfId="0" applyNumberFormat="1" applyFont="1" applyFill="1" applyBorder="1" applyAlignment="1">
      <alignment/>
    </xf>
    <xf numFmtId="191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176" fontId="15" fillId="0" borderId="21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37" borderId="0" xfId="0" applyFont="1" applyFill="1" applyAlignment="1">
      <alignment horizontal="left"/>
    </xf>
    <xf numFmtId="4" fontId="11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0" fontId="11" fillId="0" borderId="11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4" fontId="11" fillId="0" borderId="75" xfId="0" applyNumberFormat="1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51" xfId="0" applyFont="1" applyBorder="1" applyAlignment="1">
      <alignment horizontal="center" vertical="center" textRotation="90"/>
    </xf>
    <xf numFmtId="0" fontId="11" fillId="0" borderId="7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4" fontId="11" fillId="0" borderId="76" xfId="0" applyNumberFormat="1" applyFont="1" applyBorder="1" applyAlignment="1">
      <alignment horizontal="center" vertical="center"/>
    </xf>
    <xf numFmtId="4" fontId="11" fillId="0" borderId="75" xfId="0" applyNumberFormat="1" applyFont="1" applyBorder="1" applyAlignment="1">
      <alignment horizontal="center" vertical="center"/>
    </xf>
    <xf numFmtId="4" fontId="11" fillId="0" borderId="63" xfId="0" applyNumberFormat="1" applyFont="1" applyBorder="1" applyAlignment="1">
      <alignment horizontal="center" vertical="center"/>
    </xf>
    <xf numFmtId="4" fontId="11" fillId="0" borderId="11" xfId="59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 vertical="center"/>
    </xf>
    <xf numFmtId="4" fontId="11" fillId="37" borderId="11" xfId="59" applyNumberFormat="1" applyFont="1" applyFill="1" applyBorder="1" applyAlignment="1">
      <alignment horizontal="center" vertical="center"/>
    </xf>
    <xf numFmtId="4" fontId="11" fillId="0" borderId="11" xfId="59" applyNumberFormat="1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172" fontId="0" fillId="0" borderId="0" xfId="0" applyNumberFormat="1" applyBorder="1" applyAlignment="1">
      <alignment horizontal="left" wrapText="1"/>
    </xf>
    <xf numFmtId="0" fontId="2" fillId="0" borderId="58" xfId="0" applyFont="1" applyBorder="1" applyAlignment="1">
      <alignment horizontal="center"/>
    </xf>
    <xf numFmtId="0" fontId="39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43" xfId="0" applyFont="1" applyBorder="1" applyAlignment="1" applyProtection="1">
      <alignment horizontal="center"/>
      <protection locked="0"/>
    </xf>
    <xf numFmtId="2" fontId="14" fillId="0" borderId="50" xfId="0" applyNumberFormat="1" applyFont="1" applyBorder="1" applyAlignment="1" applyProtection="1">
      <alignment horizontal="center"/>
      <protection locked="0"/>
    </xf>
    <xf numFmtId="2" fontId="14" fillId="0" borderId="70" xfId="0" applyNumberFormat="1" applyFont="1" applyBorder="1" applyAlignment="1" applyProtection="1">
      <alignment horizontal="center"/>
      <protection locked="0"/>
    </xf>
    <xf numFmtId="0" fontId="10" fillId="0" borderId="81" xfId="0" applyFont="1" applyBorder="1" applyAlignment="1" applyProtection="1">
      <alignment horizontal="center" vertical="center" wrapText="1"/>
      <protection locked="0"/>
    </xf>
    <xf numFmtId="0" fontId="10" fillId="0" borderId="82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9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9" fillId="0" borderId="0" xfId="0" applyFont="1" applyAlignment="1">
      <alignment/>
    </xf>
    <xf numFmtId="1" fontId="22" fillId="0" borderId="0" xfId="0" applyNumberFormat="1" applyFont="1" applyBorder="1" applyAlignment="1">
      <alignment/>
    </xf>
    <xf numFmtId="0" fontId="9" fillId="0" borderId="61" xfId="0" applyFont="1" applyBorder="1" applyAlignment="1">
      <alignment horizontal="justify"/>
    </xf>
    <xf numFmtId="0" fontId="0" fillId="0" borderId="84" xfId="0" applyBorder="1" applyAlignment="1">
      <alignment/>
    </xf>
    <xf numFmtId="0" fontId="0" fillId="0" borderId="64" xfId="0" applyBorder="1" applyAlignment="1">
      <alignment/>
    </xf>
    <xf numFmtId="2" fontId="11" fillId="0" borderId="76" xfId="0" applyNumberFormat="1" applyFont="1" applyBorder="1" applyAlignment="1">
      <alignment horizontal="center"/>
    </xf>
    <xf numFmtId="2" fontId="11" fillId="0" borderId="75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8" fillId="0" borderId="72" xfId="0" applyNumberFormat="1" applyFont="1" applyBorder="1" applyAlignment="1" applyProtection="1">
      <alignment/>
      <protection locked="0"/>
    </xf>
    <xf numFmtId="2" fontId="18" fillId="0" borderId="53" xfId="0" applyNumberFormat="1" applyFont="1" applyBorder="1" applyAlignment="1" applyProtection="1">
      <alignment/>
      <protection locked="0"/>
    </xf>
    <xf numFmtId="2" fontId="18" fillId="0" borderId="54" xfId="0" applyNumberFormat="1" applyFont="1" applyBorder="1" applyAlignment="1" applyProtection="1">
      <alignment/>
      <protection locked="0"/>
    </xf>
    <xf numFmtId="0" fontId="36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11" fillId="0" borderId="76" xfId="0" applyNumberFormat="1" applyFont="1" applyBorder="1" applyAlignment="1">
      <alignment horizontal="center" vertical="center" wrapText="1"/>
    </xf>
    <xf numFmtId="2" fontId="11" fillId="0" borderId="75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76" xfId="0" applyNumberFormat="1" applyFont="1" applyBorder="1" applyAlignment="1">
      <alignment horizontal="center" vertical="center"/>
    </xf>
    <xf numFmtId="2" fontId="11" fillId="0" borderId="75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left"/>
    </xf>
    <xf numFmtId="2" fontId="0" fillId="0" borderId="73" xfId="0" applyNumberFormat="1" applyFont="1" applyBorder="1" applyAlignment="1" applyProtection="1">
      <alignment/>
      <protection locked="0"/>
    </xf>
    <xf numFmtId="0" fontId="15" fillId="36" borderId="12" xfId="0" applyFont="1" applyFill="1" applyBorder="1" applyAlignment="1" applyProtection="1">
      <alignment horizontal="center"/>
      <protection locked="0"/>
    </xf>
    <xf numFmtId="2" fontId="15" fillId="0" borderId="12" xfId="0" applyNumberFormat="1" applyFont="1" applyBorder="1" applyAlignment="1" applyProtection="1">
      <alignment horizontal="center"/>
      <protection locked="0"/>
    </xf>
    <xf numFmtId="2" fontId="22" fillId="0" borderId="12" xfId="0" applyNumberFormat="1" applyFont="1" applyBorder="1" applyAlignment="1" applyProtection="1">
      <alignment/>
      <protection locked="0"/>
    </xf>
    <xf numFmtId="2" fontId="22" fillId="0" borderId="73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41" fillId="0" borderId="51" xfId="0" applyFont="1" applyBorder="1" applyAlignment="1" applyProtection="1">
      <alignment horizontal="center"/>
      <protection locked="0"/>
    </xf>
    <xf numFmtId="0" fontId="41" fillId="0" borderId="85" xfId="0" applyFont="1" applyBorder="1" applyAlignment="1" applyProtection="1">
      <alignment horizontal="center"/>
      <protection locked="0"/>
    </xf>
    <xf numFmtId="2" fontId="18" fillId="0" borderId="42" xfId="0" applyNumberFormat="1" applyFont="1" applyBorder="1" applyAlignment="1" applyProtection="1">
      <alignment/>
      <protection/>
    </xf>
    <xf numFmtId="2" fontId="18" fillId="0" borderId="86" xfId="0" applyNumberFormat="1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2" fontId="14" fillId="0" borderId="32" xfId="0" applyNumberFormat="1" applyFont="1" applyBorder="1" applyAlignment="1" applyProtection="1">
      <alignment horizontal="center"/>
      <protection locked="0"/>
    </xf>
    <xf numFmtId="2" fontId="14" fillId="0" borderId="71" xfId="0" applyNumberFormat="1" applyFont="1" applyBorder="1" applyAlignment="1" applyProtection="1">
      <alignment horizontal="center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65" xfId="0" applyBorder="1" applyAlignment="1">
      <alignment/>
    </xf>
    <xf numFmtId="0" fontId="20" fillId="0" borderId="21" xfId="0" applyFont="1" applyBorder="1" applyAlignment="1">
      <alignment horizontal="justify" vertical="center" wrapText="1"/>
    </xf>
    <xf numFmtId="0" fontId="0" fillId="0" borderId="75" xfId="0" applyBorder="1" applyAlignment="1">
      <alignment/>
    </xf>
    <xf numFmtId="0" fontId="0" fillId="0" borderId="63" xfId="0" applyBorder="1" applyAlignment="1">
      <alignment/>
    </xf>
    <xf numFmtId="0" fontId="20" fillId="0" borderId="21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88" xfId="0" applyFont="1" applyBorder="1" applyAlignment="1" applyProtection="1">
      <alignment horizontal="left"/>
      <protection locked="0"/>
    </xf>
    <xf numFmtId="0" fontId="2" fillId="0" borderId="89" xfId="0" applyFont="1" applyBorder="1" applyAlignment="1" applyProtection="1">
      <alignment horizontal="left"/>
      <protection locked="0"/>
    </xf>
    <xf numFmtId="0" fontId="11" fillId="0" borderId="8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82" xfId="0" applyFont="1" applyBorder="1" applyAlignment="1" applyProtection="1">
      <alignment horizontal="center" vertical="center"/>
      <protection locked="0"/>
    </xf>
    <xf numFmtId="0" fontId="10" fillId="0" borderId="9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" fontId="11" fillId="0" borderId="91" xfId="0" applyNumberFormat="1" applyFont="1" applyBorder="1" applyAlignment="1">
      <alignment horizontal="center"/>
    </xf>
    <xf numFmtId="2" fontId="11" fillId="0" borderId="84" xfId="0" applyNumberFormat="1" applyFont="1" applyBorder="1" applyAlignment="1">
      <alignment horizontal="center"/>
    </xf>
    <xf numFmtId="2" fontId="11" fillId="0" borderId="60" xfId="0" applyNumberFormat="1" applyFont="1" applyBorder="1" applyAlignment="1">
      <alignment horizontal="center"/>
    </xf>
    <xf numFmtId="0" fontId="20" fillId="0" borderId="21" xfId="0" applyFont="1" applyBorder="1" applyAlignment="1">
      <alignment horizontal="justify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2" fontId="11" fillId="0" borderId="98" xfId="0" applyNumberFormat="1" applyFont="1" applyBorder="1" applyAlignment="1">
      <alignment horizontal="center"/>
    </xf>
    <xf numFmtId="2" fontId="11" fillId="0" borderId="8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2" fillId="0" borderId="88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2" fontId="0" fillId="0" borderId="12" xfId="0" applyNumberFormat="1" applyFont="1" applyBorder="1" applyAlignment="1" applyProtection="1">
      <alignment/>
      <protection locked="0"/>
    </xf>
    <xf numFmtId="0" fontId="17" fillId="0" borderId="1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2" fontId="15" fillId="0" borderId="12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2" fontId="18" fillId="0" borderId="12" xfId="0" applyNumberFormat="1" applyFont="1" applyBorder="1" applyAlignment="1" applyProtection="1">
      <alignment/>
      <protection/>
    </xf>
    <xf numFmtId="1" fontId="19" fillId="0" borderId="22" xfId="0" applyNumberFormat="1" applyFont="1" applyBorder="1" applyAlignment="1">
      <alignment horizontal="center" vertical="center"/>
    </xf>
    <xf numFmtId="1" fontId="19" fillId="0" borderId="102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10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/>
    </xf>
    <xf numFmtId="0" fontId="23" fillId="0" borderId="104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 horizontal="right"/>
    </xf>
    <xf numFmtId="4" fontId="4" fillId="0" borderId="85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left" vertical="center" wrapText="1"/>
    </xf>
    <xf numFmtId="9" fontId="24" fillId="0" borderId="24" xfId="0" applyNumberFormat="1" applyFont="1" applyBorder="1" applyAlignment="1">
      <alignment/>
    </xf>
    <xf numFmtId="0" fontId="24" fillId="0" borderId="104" xfId="0" applyFont="1" applyBorder="1" applyAlignment="1">
      <alignment/>
    </xf>
    <xf numFmtId="0" fontId="2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2" fontId="15" fillId="0" borderId="12" xfId="0" applyNumberFormat="1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2" fontId="18" fillId="0" borderId="12" xfId="0" applyNumberFormat="1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62" xfId="0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2" fontId="14" fillId="0" borderId="62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9" fillId="0" borderId="11" xfId="0" applyFont="1" applyBorder="1" applyAlignment="1">
      <alignment/>
    </xf>
    <xf numFmtId="0" fontId="2" fillId="0" borderId="105" xfId="0" applyFont="1" applyBorder="1" applyAlignment="1">
      <alignment horizontal="left"/>
    </xf>
    <xf numFmtId="0" fontId="11" fillId="0" borderId="106" xfId="0" applyFont="1" applyBorder="1" applyAlignment="1">
      <alignment horizontal="left"/>
    </xf>
    <xf numFmtId="0" fontId="11" fillId="0" borderId="107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108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108" xfId="0" applyNumberFormat="1" applyFont="1" applyBorder="1" applyAlignment="1">
      <alignment horizontal="center"/>
    </xf>
    <xf numFmtId="0" fontId="10" fillId="0" borderId="109" xfId="0" applyFont="1" applyBorder="1" applyAlignment="1">
      <alignment horizontal="center" vertical="center"/>
    </xf>
    <xf numFmtId="2" fontId="14" fillId="0" borderId="110" xfId="0" applyNumberFormat="1" applyFont="1" applyBorder="1" applyAlignment="1">
      <alignment horizontal="center"/>
    </xf>
    <xf numFmtId="2" fontId="14" fillId="0" borderId="111" xfId="0" applyNumberFormat="1" applyFont="1" applyBorder="1" applyAlignment="1">
      <alignment horizontal="center"/>
    </xf>
    <xf numFmtId="2" fontId="14" fillId="0" borderId="112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0" fillId="0" borderId="1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6" xfId="0" applyFont="1" applyBorder="1" applyAlignment="1">
      <alignment horizontal="justify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76" xfId="0" applyFont="1" applyFill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7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/>
    </xf>
    <xf numFmtId="0" fontId="20" fillId="0" borderId="76" xfId="0" applyFont="1" applyBorder="1" applyAlignment="1">
      <alignment horizontal="justify" vertical="center"/>
    </xf>
    <xf numFmtId="0" fontId="20" fillId="0" borderId="11" xfId="0" applyFont="1" applyBorder="1" applyAlignment="1">
      <alignment horizontal="justify"/>
    </xf>
    <xf numFmtId="0" fontId="20" fillId="0" borderId="76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9" fillId="0" borderId="76" xfId="0" applyFont="1" applyBorder="1" applyAlignment="1">
      <alignment horizontal="justify"/>
    </xf>
    <xf numFmtId="0" fontId="0" fillId="0" borderId="114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4" xfId="0" applyFont="1" applyBorder="1" applyAlignment="1">
      <alignment horizontal="center" wrapText="1"/>
    </xf>
    <xf numFmtId="0" fontId="15" fillId="0" borderId="13" xfId="0" applyFont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17" fillId="0" borderId="12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28" fillId="0" borderId="0" xfId="0" applyFont="1" applyAlignment="1">
      <alignment/>
    </xf>
    <xf numFmtId="0" fontId="0" fillId="0" borderId="7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2" fontId="11" fillId="0" borderId="11" xfId="0" applyNumberFormat="1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97" fillId="39" borderId="10" xfId="0" applyFont="1" applyFill="1" applyBorder="1" applyAlignment="1">
      <alignment horizontal="center" vertical="center" wrapText="1"/>
    </xf>
    <xf numFmtId="0" fontId="99" fillId="39" borderId="77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5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8" fillId="0" borderId="11" xfId="59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" fontId="9" fillId="0" borderId="11" xfId="59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20" fillId="37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4" fontId="20" fillId="37" borderId="11" xfId="0" applyNumberFormat="1" applyFont="1" applyFill="1" applyBorder="1" applyAlignment="1">
      <alignment horizontal="center" vertical="center"/>
    </xf>
    <xf numFmtId="4" fontId="9" fillId="37" borderId="11" xfId="59" applyNumberFormat="1" applyFont="1" applyFill="1" applyBorder="1" applyAlignment="1">
      <alignment horizontal="center" vertical="center"/>
    </xf>
    <xf numFmtId="4" fontId="20" fillId="37" borderId="11" xfId="0" applyNumberFormat="1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wrapText="1"/>
    </xf>
    <xf numFmtId="0" fontId="43" fillId="0" borderId="29" xfId="0" applyFont="1" applyFill="1" applyBorder="1" applyAlignment="1">
      <alignment horizontal="center" wrapText="1"/>
    </xf>
    <xf numFmtId="0" fontId="43" fillId="0" borderId="66" xfId="0" applyFont="1" applyFill="1" applyBorder="1" applyAlignment="1">
      <alignment horizontal="center" wrapText="1"/>
    </xf>
    <xf numFmtId="0" fontId="43" fillId="0" borderId="115" xfId="0" applyFont="1" applyFill="1" applyBorder="1" applyAlignment="1">
      <alignment horizontal="center" wrapText="1"/>
    </xf>
    <xf numFmtId="0" fontId="43" fillId="0" borderId="115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4" fontId="11" fillId="0" borderId="26" xfId="0" applyNumberFormat="1" applyFont="1" applyFill="1" applyBorder="1" applyAlignment="1">
      <alignment horizontal="center"/>
    </xf>
    <xf numFmtId="4" fontId="11" fillId="0" borderId="43" xfId="0" applyNumberFormat="1" applyFont="1" applyFill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4" fontId="11" fillId="0" borderId="62" xfId="0" applyNumberFormat="1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87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32" fillId="0" borderId="98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43" fillId="0" borderId="98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/>
    </xf>
    <xf numFmtId="0" fontId="43" fillId="0" borderId="75" xfId="0" applyFont="1" applyFill="1" applyBorder="1" applyAlignment="1">
      <alignment horizontal="center"/>
    </xf>
    <xf numFmtId="0" fontId="43" fillId="0" borderId="63" xfId="0" applyFont="1" applyFill="1" applyBorder="1" applyAlignment="1">
      <alignment horizontal="center"/>
    </xf>
    <xf numFmtId="4" fontId="11" fillId="0" borderId="76" xfId="0" applyNumberFormat="1" applyFont="1" applyFill="1" applyBorder="1" applyAlignment="1">
      <alignment horizontal="center"/>
    </xf>
    <xf numFmtId="4" fontId="11" fillId="0" borderId="63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0" fontId="43" fillId="0" borderId="61" xfId="0" applyFont="1" applyFill="1" applyBorder="1" applyAlignment="1">
      <alignment horizontal="center"/>
    </xf>
    <xf numFmtId="0" fontId="43" fillId="0" borderId="84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4" fontId="11" fillId="0" borderId="91" xfId="0" applyNumberFormat="1" applyFont="1" applyFill="1" applyBorder="1" applyAlignment="1">
      <alignment horizontal="center"/>
    </xf>
    <xf numFmtId="4" fontId="11" fillId="0" borderId="6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говорные 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="120" zoomScaleSheetLayoutView="120" zoomScalePageLayoutView="0" workbookViewId="0" topLeftCell="A51">
      <selection activeCell="H79" sqref="H79"/>
    </sheetView>
  </sheetViews>
  <sheetFormatPr defaultColWidth="9.33203125" defaultRowHeight="12.75" outlineLevelRow="1" outlineLevelCol="1"/>
  <cols>
    <col min="1" max="2" width="6" style="443" customWidth="1"/>
    <col min="3" max="4" width="9.33203125" style="443" customWidth="1"/>
    <col min="5" max="5" width="11.66015625" style="443" customWidth="1"/>
    <col min="6" max="6" width="11.5" style="443" customWidth="1"/>
    <col min="7" max="7" width="11.5" style="443" hidden="1" customWidth="1" outlineLevel="1"/>
    <col min="8" max="8" width="11" style="443" customWidth="1" collapsed="1"/>
    <col min="9" max="9" width="13" style="443" customWidth="1"/>
    <col min="10" max="10" width="14.16015625" style="443" hidden="1" customWidth="1" outlineLevel="1"/>
    <col min="11" max="11" width="9.33203125" style="443" customWidth="1" collapsed="1"/>
    <col min="12" max="12" width="13.33203125" style="443" customWidth="1"/>
    <col min="13" max="13" width="11.33203125" style="443" customWidth="1"/>
    <col min="14" max="14" width="13" style="443" customWidth="1"/>
    <col min="15" max="16384" width="9.33203125" style="443" customWidth="1"/>
  </cols>
  <sheetData>
    <row r="1" spans="6:12" ht="15.75" hidden="1" outlineLevel="1">
      <c r="F1" s="468" t="s">
        <v>190</v>
      </c>
      <c r="G1" s="468"/>
      <c r="H1" s="468"/>
      <c r="I1" s="468"/>
      <c r="J1" s="468"/>
      <c r="K1" s="468"/>
      <c r="L1" s="468"/>
    </row>
    <row r="2" spans="11:13" ht="15.75" hidden="1" outlineLevel="1">
      <c r="K2" s="486" t="s">
        <v>91</v>
      </c>
      <c r="L2" s="486"/>
      <c r="M2" s="486"/>
    </row>
    <row r="3" spans="9:13" ht="15.75" hidden="1" outlineLevel="1">
      <c r="I3" s="487" t="s">
        <v>100</v>
      </c>
      <c r="J3" s="487"/>
      <c r="K3" s="487"/>
      <c r="L3" s="487"/>
      <c r="M3" s="487"/>
    </row>
    <row r="4" spans="9:13" ht="15.75" hidden="1" outlineLevel="1">
      <c r="I4" s="468" t="s">
        <v>101</v>
      </c>
      <c r="J4" s="468"/>
      <c r="K4" s="468"/>
      <c r="L4" s="468"/>
      <c r="M4" s="468"/>
    </row>
    <row r="5" spans="11:12" ht="15.75" hidden="1" outlineLevel="1">
      <c r="K5" s="468"/>
      <c r="L5" s="468"/>
    </row>
    <row r="6" spans="9:13" ht="15.75" outlineLevel="1">
      <c r="I6" s="497" t="s">
        <v>91</v>
      </c>
      <c r="J6" s="497"/>
      <c r="K6" s="497"/>
      <c r="L6" s="497"/>
      <c r="M6" s="497"/>
    </row>
    <row r="7" spans="9:13" ht="15.75" customHeight="1" outlineLevel="1">
      <c r="I7" s="446" t="s">
        <v>246</v>
      </c>
      <c r="J7" s="446"/>
      <c r="K7" s="446"/>
      <c r="L7" s="446"/>
      <c r="M7" s="446"/>
    </row>
    <row r="8" spans="9:13" ht="15.75" outlineLevel="1">
      <c r="I8" s="497" t="s">
        <v>249</v>
      </c>
      <c r="J8" s="497"/>
      <c r="K8" s="497"/>
      <c r="L8" s="497"/>
      <c r="M8" s="497"/>
    </row>
    <row r="9" spans="9:12" ht="15.75" outlineLevel="1">
      <c r="I9" s="445" t="s">
        <v>218</v>
      </c>
      <c r="K9" s="446"/>
      <c r="L9" s="444"/>
    </row>
    <row r="10" ht="15.75">
      <c r="I10" s="447" t="s">
        <v>259</v>
      </c>
    </row>
    <row r="12" spans="1:13" ht="15.75">
      <c r="A12" s="474" t="s">
        <v>92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</row>
    <row r="13" spans="1:13" ht="31.5" customHeight="1">
      <c r="A13" s="469" t="s">
        <v>260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</row>
    <row r="14" spans="1:13" ht="16.5" customHeight="1">
      <c r="A14" s="434"/>
      <c r="B14" s="434"/>
      <c r="C14" s="473" t="s">
        <v>191</v>
      </c>
      <c r="D14" s="473"/>
      <c r="E14" s="473"/>
      <c r="F14" s="473"/>
      <c r="G14" s="473"/>
      <c r="H14" s="473"/>
      <c r="I14" s="473"/>
      <c r="J14" s="473"/>
      <c r="K14" s="473"/>
      <c r="L14" s="434"/>
      <c r="M14" s="434"/>
    </row>
    <row r="15" spans="1:13" ht="15.75" customHeight="1">
      <c r="A15" s="493" t="s">
        <v>25</v>
      </c>
      <c r="B15" s="478" t="s">
        <v>94</v>
      </c>
      <c r="C15" s="494"/>
      <c r="D15" s="494"/>
      <c r="E15" s="479"/>
      <c r="F15" s="478" t="s">
        <v>206</v>
      </c>
      <c r="G15" s="494"/>
      <c r="H15" s="479"/>
      <c r="I15" s="489" t="s">
        <v>204</v>
      </c>
      <c r="J15" s="436"/>
      <c r="K15" s="478" t="s">
        <v>207</v>
      </c>
      <c r="L15" s="479"/>
      <c r="M15" s="434"/>
    </row>
    <row r="16" spans="1:13" ht="15.75">
      <c r="A16" s="493"/>
      <c r="B16" s="480"/>
      <c r="C16" s="469"/>
      <c r="D16" s="469"/>
      <c r="E16" s="481"/>
      <c r="F16" s="480"/>
      <c r="G16" s="469"/>
      <c r="H16" s="481"/>
      <c r="I16" s="490"/>
      <c r="J16" s="437"/>
      <c r="K16" s="480"/>
      <c r="L16" s="481"/>
      <c r="M16" s="434"/>
    </row>
    <row r="17" spans="1:13" ht="13.5" customHeight="1">
      <c r="A17" s="493"/>
      <c r="B17" s="482"/>
      <c r="C17" s="495"/>
      <c r="D17" s="495"/>
      <c r="E17" s="483"/>
      <c r="F17" s="482"/>
      <c r="G17" s="495"/>
      <c r="H17" s="483"/>
      <c r="I17" s="491"/>
      <c r="J17" s="438"/>
      <c r="K17" s="482"/>
      <c r="L17" s="483"/>
      <c r="M17" s="434"/>
    </row>
    <row r="18" spans="1:13" ht="15.75">
      <c r="A18" s="453" t="s">
        <v>263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5"/>
      <c r="M18" s="434"/>
    </row>
    <row r="19" spans="1:14" ht="15.75" customHeight="1">
      <c r="A19" s="435">
        <v>1.1</v>
      </c>
      <c r="B19" s="456" t="s">
        <v>95</v>
      </c>
      <c r="C19" s="473" t="s">
        <v>11</v>
      </c>
      <c r="D19" s="473"/>
      <c r="E19" s="473"/>
      <c r="F19" s="472">
        <f>'ель новог 2019'!D29</f>
        <v>7.083333333333334</v>
      </c>
      <c r="G19" s="472"/>
      <c r="H19" s="472"/>
      <c r="I19" s="448">
        <f aca="true" t="shared" si="0" ref="I19:I25">F19*20/100</f>
        <v>1.416666666666667</v>
      </c>
      <c r="J19" s="448"/>
      <c r="K19" s="467">
        <f aca="true" t="shared" si="1" ref="K19:K24">F19+I19</f>
        <v>8.5</v>
      </c>
      <c r="L19" s="467"/>
      <c r="M19" s="439"/>
      <c r="N19" s="443">
        <v>7</v>
      </c>
    </row>
    <row r="20" spans="1:14" ht="15.75">
      <c r="A20" s="435">
        <v>1.2</v>
      </c>
      <c r="B20" s="457"/>
      <c r="C20" s="473" t="s">
        <v>96</v>
      </c>
      <c r="D20" s="473"/>
      <c r="E20" s="473"/>
      <c r="F20" s="472">
        <f>'ель новог 2019'!E29</f>
        <v>8.75</v>
      </c>
      <c r="G20" s="472"/>
      <c r="H20" s="472"/>
      <c r="I20" s="448">
        <f t="shared" si="0"/>
        <v>1.75</v>
      </c>
      <c r="J20" s="448"/>
      <c r="K20" s="467">
        <f t="shared" si="1"/>
        <v>10.5</v>
      </c>
      <c r="L20" s="467"/>
      <c r="M20" s="439"/>
      <c r="N20" s="443">
        <v>9</v>
      </c>
    </row>
    <row r="21" spans="1:14" ht="15.75">
      <c r="A21" s="435">
        <v>1.3</v>
      </c>
      <c r="B21" s="457"/>
      <c r="C21" s="473" t="s">
        <v>97</v>
      </c>
      <c r="D21" s="473"/>
      <c r="E21" s="473"/>
      <c r="F21" s="472">
        <f>'ель новог 2019'!F29</f>
        <v>11.25</v>
      </c>
      <c r="G21" s="472"/>
      <c r="H21" s="472"/>
      <c r="I21" s="448">
        <f t="shared" si="0"/>
        <v>2.25</v>
      </c>
      <c r="J21" s="448"/>
      <c r="K21" s="467">
        <f t="shared" si="1"/>
        <v>13.5</v>
      </c>
      <c r="L21" s="467"/>
      <c r="M21" s="439"/>
      <c r="N21" s="443">
        <v>12</v>
      </c>
    </row>
    <row r="22" spans="1:14" ht="15.75">
      <c r="A22" s="435">
        <v>1.4</v>
      </c>
      <c r="B22" s="457"/>
      <c r="C22" s="471" t="s">
        <v>98</v>
      </c>
      <c r="D22" s="471"/>
      <c r="E22" s="471"/>
      <c r="F22" s="472">
        <f>'ель новог 2019'!G29</f>
        <v>16.666666666666668</v>
      </c>
      <c r="G22" s="472"/>
      <c r="H22" s="472"/>
      <c r="I22" s="448">
        <f t="shared" si="0"/>
        <v>3.333333333333334</v>
      </c>
      <c r="J22" s="448"/>
      <c r="K22" s="467">
        <f t="shared" si="1"/>
        <v>20</v>
      </c>
      <c r="L22" s="467"/>
      <c r="M22" s="439"/>
      <c r="N22" s="443">
        <v>18</v>
      </c>
    </row>
    <row r="23" spans="1:14" ht="15.75">
      <c r="A23" s="435">
        <v>1.5</v>
      </c>
      <c r="B23" s="457"/>
      <c r="C23" s="471" t="s">
        <v>99</v>
      </c>
      <c r="D23" s="471"/>
      <c r="E23" s="471"/>
      <c r="F23" s="472">
        <f>'ель новог 2019'!H29</f>
        <v>20.833333333333336</v>
      </c>
      <c r="G23" s="472"/>
      <c r="H23" s="472"/>
      <c r="I23" s="448">
        <f t="shared" si="0"/>
        <v>4.166666666666668</v>
      </c>
      <c r="J23" s="448"/>
      <c r="K23" s="467">
        <f t="shared" si="1"/>
        <v>25.000000000000004</v>
      </c>
      <c r="L23" s="467"/>
      <c r="M23" s="439"/>
      <c r="N23" s="443">
        <v>23</v>
      </c>
    </row>
    <row r="24" spans="1:14" ht="15.75">
      <c r="A24" s="435">
        <v>1.6</v>
      </c>
      <c r="B24" s="457"/>
      <c r="C24" s="471" t="s">
        <v>209</v>
      </c>
      <c r="D24" s="471"/>
      <c r="E24" s="471"/>
      <c r="F24" s="472">
        <f>'ель новог 2019'!I29</f>
        <v>37.91666666666667</v>
      </c>
      <c r="G24" s="472"/>
      <c r="H24" s="472"/>
      <c r="I24" s="448">
        <f t="shared" si="0"/>
        <v>7.583333333333335</v>
      </c>
      <c r="J24" s="448"/>
      <c r="K24" s="467">
        <f t="shared" si="1"/>
        <v>45.50000000000001</v>
      </c>
      <c r="L24" s="467"/>
      <c r="M24" s="439"/>
      <c r="N24" s="443">
        <v>42</v>
      </c>
    </row>
    <row r="25" spans="1:13" ht="30" customHeight="1">
      <c r="A25" s="435">
        <v>1.7</v>
      </c>
      <c r="B25" s="458"/>
      <c r="C25" s="461" t="s">
        <v>265</v>
      </c>
      <c r="D25" s="462"/>
      <c r="E25" s="463"/>
      <c r="F25" s="464">
        <v>16.67</v>
      </c>
      <c r="G25" s="465"/>
      <c r="H25" s="466"/>
      <c r="I25" s="448">
        <f t="shared" si="0"/>
        <v>3.3340000000000005</v>
      </c>
      <c r="J25" s="452"/>
      <c r="K25" s="467">
        <f>F25+I25</f>
        <v>20.004</v>
      </c>
      <c r="L25" s="467"/>
      <c r="M25" s="439"/>
    </row>
    <row r="26" spans="1:13" ht="15.75">
      <c r="A26" s="459" t="s">
        <v>262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39"/>
    </row>
    <row r="27" spans="1:14" ht="15.75" customHeight="1">
      <c r="A27" s="440">
        <v>2.1</v>
      </c>
      <c r="B27" s="456" t="s">
        <v>95</v>
      </c>
      <c r="C27" s="473" t="s">
        <v>11</v>
      </c>
      <c r="D27" s="473"/>
      <c r="E27" s="473"/>
      <c r="F27" s="472">
        <f>'ель новог 2019'!D36</f>
        <v>8.75</v>
      </c>
      <c r="G27" s="472"/>
      <c r="H27" s="472"/>
      <c r="I27" s="448">
        <f>F27*20/100</f>
        <v>1.75</v>
      </c>
      <c r="J27" s="448"/>
      <c r="K27" s="477">
        <f>'ель новог 2019'!D40</f>
        <v>10.5</v>
      </c>
      <c r="L27" s="477"/>
      <c r="M27" s="439"/>
      <c r="N27" s="449">
        <v>9</v>
      </c>
    </row>
    <row r="28" spans="1:14" ht="15.75">
      <c r="A28" s="440">
        <v>2.2</v>
      </c>
      <c r="B28" s="457"/>
      <c r="C28" s="473" t="s">
        <v>96</v>
      </c>
      <c r="D28" s="473"/>
      <c r="E28" s="473"/>
      <c r="F28" s="472">
        <f>'ель новог 2019'!E36</f>
        <v>10.416666666666668</v>
      </c>
      <c r="G28" s="472"/>
      <c r="H28" s="472"/>
      <c r="I28" s="448">
        <f>F28*20/100</f>
        <v>2.083333333333334</v>
      </c>
      <c r="J28" s="448"/>
      <c r="K28" s="477">
        <f>'ель новог 2019'!E40</f>
        <v>12.5</v>
      </c>
      <c r="L28" s="477"/>
      <c r="M28" s="439"/>
      <c r="N28" s="449">
        <v>11</v>
      </c>
    </row>
    <row r="29" spans="1:14" ht="15.75">
      <c r="A29" s="440">
        <v>2.3</v>
      </c>
      <c r="B29" s="457"/>
      <c r="C29" s="473" t="s">
        <v>97</v>
      </c>
      <c r="D29" s="473"/>
      <c r="E29" s="473"/>
      <c r="F29" s="472">
        <f>'ель новог 2019'!F36</f>
        <v>14.166666666666668</v>
      </c>
      <c r="G29" s="472"/>
      <c r="H29" s="472"/>
      <c r="I29" s="448">
        <f>F29*20/100</f>
        <v>2.833333333333334</v>
      </c>
      <c r="J29" s="448"/>
      <c r="K29" s="477">
        <f>'ель новог 2019'!F40</f>
        <v>17</v>
      </c>
      <c r="L29" s="477"/>
      <c r="M29" s="439"/>
      <c r="N29" s="449">
        <v>15</v>
      </c>
    </row>
    <row r="30" spans="1:14" ht="15.75">
      <c r="A30" s="440">
        <v>2.4</v>
      </c>
      <c r="B30" s="457"/>
      <c r="C30" s="471" t="s">
        <v>98</v>
      </c>
      <c r="D30" s="471"/>
      <c r="E30" s="471"/>
      <c r="F30" s="472">
        <f>'ель новог 2019'!G36</f>
        <v>22.916666666666668</v>
      </c>
      <c r="G30" s="472"/>
      <c r="H30" s="472"/>
      <c r="I30" s="448">
        <f>F30*20/100</f>
        <v>4.583333333333334</v>
      </c>
      <c r="J30" s="448"/>
      <c r="K30" s="477">
        <f>'ель новог 2019'!G40</f>
        <v>27.5</v>
      </c>
      <c r="L30" s="477"/>
      <c r="M30" s="439"/>
      <c r="N30" s="449">
        <v>25</v>
      </c>
    </row>
    <row r="31" spans="1:14" ht="15.75">
      <c r="A31" s="440">
        <v>2.5</v>
      </c>
      <c r="B31" s="458"/>
      <c r="C31" s="471" t="s">
        <v>99</v>
      </c>
      <c r="D31" s="471"/>
      <c r="E31" s="471"/>
      <c r="F31" s="472">
        <f>'ель новог 2019'!H36</f>
        <v>29.166666666666668</v>
      </c>
      <c r="G31" s="472"/>
      <c r="H31" s="472"/>
      <c r="I31" s="448">
        <f>F31*20/100</f>
        <v>5.833333333333334</v>
      </c>
      <c r="J31" s="448"/>
      <c r="K31" s="477">
        <f>'ель новог 2019'!H40</f>
        <v>35</v>
      </c>
      <c r="L31" s="477"/>
      <c r="M31" s="439"/>
      <c r="N31" s="449">
        <v>32</v>
      </c>
    </row>
    <row r="32" spans="1:13" ht="15.75">
      <c r="A32" s="459" t="s">
        <v>264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34"/>
    </row>
    <row r="33" spans="1:14" ht="15.75" customHeight="1">
      <c r="A33" s="440">
        <v>3.1</v>
      </c>
      <c r="B33" s="456" t="s">
        <v>95</v>
      </c>
      <c r="C33" s="473" t="s">
        <v>11</v>
      </c>
      <c r="D33" s="473"/>
      <c r="E33" s="473"/>
      <c r="F33" s="472">
        <f>'ель новог 2019'!D45</f>
        <v>9.166666666666668</v>
      </c>
      <c r="G33" s="472"/>
      <c r="H33" s="472"/>
      <c r="I33" s="448">
        <f aca="true" t="shared" si="2" ref="I33:I38">F33*20/100</f>
        <v>1.8333333333333337</v>
      </c>
      <c r="J33" s="448"/>
      <c r="K33" s="467">
        <f>'ель новог 2019'!D49</f>
        <v>11</v>
      </c>
      <c r="L33" s="467"/>
      <c r="M33" s="439"/>
      <c r="N33" s="449">
        <v>9</v>
      </c>
    </row>
    <row r="34" spans="1:14" ht="15.75">
      <c r="A34" s="440">
        <v>3.2</v>
      </c>
      <c r="B34" s="457"/>
      <c r="C34" s="473" t="s">
        <v>96</v>
      </c>
      <c r="D34" s="473"/>
      <c r="E34" s="473"/>
      <c r="F34" s="472">
        <f>'ель новог 2019'!E45</f>
        <v>11.666666666666668</v>
      </c>
      <c r="G34" s="472"/>
      <c r="H34" s="472"/>
      <c r="I34" s="448">
        <f t="shared" si="2"/>
        <v>2.333333333333334</v>
      </c>
      <c r="J34" s="448"/>
      <c r="K34" s="467">
        <f>'ель новог 2019'!E49</f>
        <v>14</v>
      </c>
      <c r="L34" s="467"/>
      <c r="M34" s="439"/>
      <c r="N34" s="449">
        <v>12</v>
      </c>
    </row>
    <row r="35" spans="1:14" ht="15.75">
      <c r="A35" s="440">
        <v>3.3</v>
      </c>
      <c r="B35" s="457"/>
      <c r="C35" s="473" t="s">
        <v>97</v>
      </c>
      <c r="D35" s="473"/>
      <c r="E35" s="473"/>
      <c r="F35" s="472">
        <f>'ель новог 2019'!F45</f>
        <v>16.666666666666668</v>
      </c>
      <c r="G35" s="472"/>
      <c r="H35" s="472"/>
      <c r="I35" s="448">
        <f t="shared" si="2"/>
        <v>3.333333333333334</v>
      </c>
      <c r="J35" s="448"/>
      <c r="K35" s="467">
        <f>'ель новог 2019'!F49</f>
        <v>20</v>
      </c>
      <c r="L35" s="467"/>
      <c r="M35" s="439"/>
      <c r="N35" s="449">
        <v>17</v>
      </c>
    </row>
    <row r="36" spans="1:14" ht="15.75">
      <c r="A36" s="440">
        <v>3.4</v>
      </c>
      <c r="B36" s="457"/>
      <c r="C36" s="471" t="s">
        <v>98</v>
      </c>
      <c r="D36" s="471"/>
      <c r="E36" s="471"/>
      <c r="F36" s="472">
        <f>'ель новог 2019'!G45</f>
        <v>25.833333333333336</v>
      </c>
      <c r="G36" s="472"/>
      <c r="H36" s="472"/>
      <c r="I36" s="448">
        <f t="shared" si="2"/>
        <v>5.166666666666668</v>
      </c>
      <c r="J36" s="448"/>
      <c r="K36" s="467">
        <f>'ель новог 2019'!G49</f>
        <v>31</v>
      </c>
      <c r="L36" s="467"/>
      <c r="M36" s="439"/>
      <c r="N36" s="449">
        <v>27</v>
      </c>
    </row>
    <row r="37" spans="1:14" ht="15.75">
      <c r="A37" s="440">
        <v>3.5</v>
      </c>
      <c r="B37" s="457"/>
      <c r="C37" s="471" t="s">
        <v>99</v>
      </c>
      <c r="D37" s="471"/>
      <c r="E37" s="471"/>
      <c r="F37" s="472">
        <f>'ель новог 2019'!H45</f>
        <v>34.16666666666667</v>
      </c>
      <c r="G37" s="472"/>
      <c r="H37" s="472"/>
      <c r="I37" s="448">
        <f t="shared" si="2"/>
        <v>6.833333333333335</v>
      </c>
      <c r="J37" s="448"/>
      <c r="K37" s="467">
        <f>'ель новог 2019'!H49</f>
        <v>41</v>
      </c>
      <c r="L37" s="467"/>
      <c r="M37" s="439"/>
      <c r="N37" s="449">
        <v>40</v>
      </c>
    </row>
    <row r="38" spans="1:14" ht="30.75" customHeight="1">
      <c r="A38" s="440">
        <v>3.6</v>
      </c>
      <c r="B38" s="458"/>
      <c r="C38" s="461" t="s">
        <v>265</v>
      </c>
      <c r="D38" s="462"/>
      <c r="E38" s="463"/>
      <c r="F38" s="464">
        <v>20.83</v>
      </c>
      <c r="G38" s="465"/>
      <c r="H38" s="466"/>
      <c r="I38" s="448">
        <f t="shared" si="2"/>
        <v>4.1659999999999995</v>
      </c>
      <c r="J38" s="448"/>
      <c r="K38" s="467">
        <f>I38+F38</f>
        <v>24.996</v>
      </c>
      <c r="L38" s="467"/>
      <c r="M38" s="439"/>
      <c r="N38" s="449"/>
    </row>
    <row r="39" spans="1:13" ht="15.75">
      <c r="A39" s="440">
        <v>4</v>
      </c>
      <c r="B39" s="470" t="s">
        <v>250</v>
      </c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34"/>
    </row>
    <row r="40" spans="1:13" ht="15.75">
      <c r="A40" s="440">
        <v>4.1</v>
      </c>
      <c r="B40" s="470" t="s">
        <v>185</v>
      </c>
      <c r="C40" s="470"/>
      <c r="D40" s="470"/>
      <c r="E40" s="470"/>
      <c r="F40" s="475">
        <f>'букеты новог'!D34</f>
        <v>4.166666666666667</v>
      </c>
      <c r="G40" s="475"/>
      <c r="H40" s="475"/>
      <c r="I40" s="441">
        <f>'букеты новог'!D35</f>
        <v>0.833333333333333</v>
      </c>
      <c r="J40" s="441"/>
      <c r="K40" s="476">
        <f>I40+F40</f>
        <v>5</v>
      </c>
      <c r="L40" s="476"/>
      <c r="M40" s="434"/>
    </row>
    <row r="41" spans="1:13" ht="15.75">
      <c r="A41" s="435">
        <v>4.2</v>
      </c>
      <c r="B41" s="470" t="s">
        <v>186</v>
      </c>
      <c r="C41" s="470"/>
      <c r="D41" s="470"/>
      <c r="E41" s="470"/>
      <c r="F41" s="475">
        <f>'букеты новог'!E34</f>
        <v>4.583333333333334</v>
      </c>
      <c r="G41" s="475"/>
      <c r="H41" s="475"/>
      <c r="I41" s="441">
        <f>'букеты новог'!E35</f>
        <v>0.9166666666666661</v>
      </c>
      <c r="J41" s="441"/>
      <c r="K41" s="476">
        <f>F41+I41</f>
        <v>5.5</v>
      </c>
      <c r="L41" s="476"/>
      <c r="M41" s="434"/>
    </row>
    <row r="42" spans="1:15" ht="9.75" customHeight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</row>
    <row r="43" spans="1:15" ht="45.75" customHeight="1">
      <c r="A43" s="442"/>
      <c r="B43" s="484" t="s">
        <v>214</v>
      </c>
      <c r="C43" s="484"/>
      <c r="D43" s="484"/>
      <c r="E43" s="484" t="s">
        <v>149</v>
      </c>
      <c r="F43" s="484"/>
      <c r="G43" s="450"/>
      <c r="H43" s="450" t="s">
        <v>210</v>
      </c>
      <c r="I43" s="488" t="s">
        <v>150</v>
      </c>
      <c r="J43" s="488"/>
      <c r="K43" s="488"/>
      <c r="L43" s="442"/>
      <c r="M43" s="442"/>
      <c r="N43" s="442"/>
      <c r="O43" s="442"/>
    </row>
    <row r="44" spans="1:15" ht="15.75">
      <c r="A44" s="442"/>
      <c r="B44" s="485" t="s">
        <v>151</v>
      </c>
      <c r="C44" s="485"/>
      <c r="D44" s="485"/>
      <c r="E44" s="492">
        <f>I44/1.2</f>
        <v>56.66666666666667</v>
      </c>
      <c r="F44" s="492"/>
      <c r="G44" s="408"/>
      <c r="H44" s="408">
        <f>I44-E44</f>
        <v>11.333333333333329</v>
      </c>
      <c r="I44" s="492">
        <v>68</v>
      </c>
      <c r="J44" s="492"/>
      <c r="K44" s="492"/>
      <c r="L44" s="442"/>
      <c r="M44" s="442"/>
      <c r="N44" s="442"/>
      <c r="O44" s="442"/>
    </row>
    <row r="45" spans="1:15" ht="15.75">
      <c r="A45" s="442"/>
      <c r="B45" s="485" t="s">
        <v>152</v>
      </c>
      <c r="C45" s="485"/>
      <c r="D45" s="485"/>
      <c r="E45" s="492">
        <f>I45/1.2</f>
        <v>60.833333333333336</v>
      </c>
      <c r="F45" s="492"/>
      <c r="G45" s="408"/>
      <c r="H45" s="408">
        <f aca="true" t="shared" si="3" ref="H45:H67">I45-E45</f>
        <v>12.166666666666664</v>
      </c>
      <c r="I45" s="492">
        <f>I44+5</f>
        <v>73</v>
      </c>
      <c r="J45" s="492"/>
      <c r="K45" s="492"/>
      <c r="L45" s="442"/>
      <c r="M45" s="442"/>
      <c r="N45" s="442"/>
      <c r="O45" s="442"/>
    </row>
    <row r="46" spans="1:15" ht="15.75">
      <c r="A46" s="442"/>
      <c r="B46" s="485" t="s">
        <v>153</v>
      </c>
      <c r="C46" s="485"/>
      <c r="D46" s="485"/>
      <c r="E46" s="492">
        <f>I46/1.2</f>
        <v>65</v>
      </c>
      <c r="F46" s="492"/>
      <c r="G46" s="408"/>
      <c r="H46" s="408">
        <f t="shared" si="3"/>
        <v>13</v>
      </c>
      <c r="I46" s="492">
        <f>I45+5</f>
        <v>78</v>
      </c>
      <c r="J46" s="492"/>
      <c r="K46" s="492"/>
      <c r="L46" s="442"/>
      <c r="M46" s="442"/>
      <c r="N46" s="442"/>
      <c r="O46" s="442"/>
    </row>
    <row r="47" spans="1:15" ht="15.75">
      <c r="A47" s="442"/>
      <c r="B47" s="485" t="s">
        <v>154</v>
      </c>
      <c r="C47" s="485"/>
      <c r="D47" s="485"/>
      <c r="E47" s="492">
        <f>I47/1.2</f>
        <v>69.16666666666667</v>
      </c>
      <c r="F47" s="492"/>
      <c r="G47" s="408"/>
      <c r="H47" s="408">
        <f t="shared" si="3"/>
        <v>13.833333333333329</v>
      </c>
      <c r="I47" s="492">
        <f aca="true" t="shared" si="4" ref="I47:I67">I46+5</f>
        <v>83</v>
      </c>
      <c r="J47" s="492"/>
      <c r="K47" s="492"/>
      <c r="L47" s="442"/>
      <c r="M47" s="442"/>
      <c r="N47" s="442"/>
      <c r="O47" s="442"/>
    </row>
    <row r="48" spans="1:15" ht="15.75">
      <c r="A48" s="442"/>
      <c r="B48" s="485" t="s">
        <v>155</v>
      </c>
      <c r="C48" s="485"/>
      <c r="D48" s="485"/>
      <c r="E48" s="492">
        <f>I48/1.2</f>
        <v>73.33333333333334</v>
      </c>
      <c r="F48" s="492"/>
      <c r="G48" s="408"/>
      <c r="H48" s="408">
        <f t="shared" si="3"/>
        <v>14.666666666666657</v>
      </c>
      <c r="I48" s="492">
        <f t="shared" si="4"/>
        <v>88</v>
      </c>
      <c r="J48" s="492"/>
      <c r="K48" s="492"/>
      <c r="L48" s="442"/>
      <c r="M48" s="442"/>
      <c r="N48" s="442"/>
      <c r="O48" s="442"/>
    </row>
    <row r="49" spans="1:15" ht="15.75">
      <c r="A49" s="442"/>
      <c r="B49" s="485" t="s">
        <v>156</v>
      </c>
      <c r="C49" s="485"/>
      <c r="D49" s="485"/>
      <c r="E49" s="492">
        <f aca="true" t="shared" si="5" ref="E49:E67">I49/1.2</f>
        <v>77.5</v>
      </c>
      <c r="F49" s="492"/>
      <c r="G49" s="408"/>
      <c r="H49" s="408">
        <f t="shared" si="3"/>
        <v>15.5</v>
      </c>
      <c r="I49" s="492">
        <f t="shared" si="4"/>
        <v>93</v>
      </c>
      <c r="J49" s="492"/>
      <c r="K49" s="492"/>
      <c r="L49" s="442"/>
      <c r="M49" s="442"/>
      <c r="N49" s="442"/>
      <c r="O49" s="442"/>
    </row>
    <row r="50" spans="1:15" ht="15.75">
      <c r="A50" s="442"/>
      <c r="B50" s="485" t="s">
        <v>157</v>
      </c>
      <c r="C50" s="485"/>
      <c r="D50" s="485"/>
      <c r="E50" s="492">
        <f t="shared" si="5"/>
        <v>81.66666666666667</v>
      </c>
      <c r="F50" s="492"/>
      <c r="G50" s="408"/>
      <c r="H50" s="408">
        <f t="shared" si="3"/>
        <v>16.33333333333333</v>
      </c>
      <c r="I50" s="492">
        <f t="shared" si="4"/>
        <v>98</v>
      </c>
      <c r="J50" s="492"/>
      <c r="K50" s="492"/>
      <c r="L50" s="442"/>
      <c r="M50" s="442"/>
      <c r="N50" s="442"/>
      <c r="O50" s="442"/>
    </row>
    <row r="51" spans="1:15" ht="15.75">
      <c r="A51" s="442"/>
      <c r="B51" s="485" t="s">
        <v>158</v>
      </c>
      <c r="C51" s="485"/>
      <c r="D51" s="485"/>
      <c r="E51" s="492">
        <f t="shared" si="5"/>
        <v>85.83333333333334</v>
      </c>
      <c r="F51" s="492"/>
      <c r="G51" s="408"/>
      <c r="H51" s="408">
        <f t="shared" si="3"/>
        <v>17.166666666666657</v>
      </c>
      <c r="I51" s="492">
        <f t="shared" si="4"/>
        <v>103</v>
      </c>
      <c r="J51" s="492"/>
      <c r="K51" s="492"/>
      <c r="L51" s="442"/>
      <c r="M51" s="442"/>
      <c r="N51" s="442"/>
      <c r="O51" s="442"/>
    </row>
    <row r="52" spans="1:15" ht="15.75">
      <c r="A52" s="442"/>
      <c r="B52" s="485" t="s">
        <v>159</v>
      </c>
      <c r="C52" s="485"/>
      <c r="D52" s="485"/>
      <c r="E52" s="492">
        <f t="shared" si="5"/>
        <v>90</v>
      </c>
      <c r="F52" s="492"/>
      <c r="G52" s="408"/>
      <c r="H52" s="408">
        <f t="shared" si="3"/>
        <v>18</v>
      </c>
      <c r="I52" s="492">
        <f t="shared" si="4"/>
        <v>108</v>
      </c>
      <c r="J52" s="492"/>
      <c r="K52" s="492"/>
      <c r="L52" s="442"/>
      <c r="M52" s="442"/>
      <c r="N52" s="442"/>
      <c r="O52" s="442"/>
    </row>
    <row r="53" spans="1:15" ht="15.75">
      <c r="A53" s="442"/>
      <c r="B53" s="485" t="s">
        <v>160</v>
      </c>
      <c r="C53" s="485"/>
      <c r="D53" s="485"/>
      <c r="E53" s="492">
        <f t="shared" si="5"/>
        <v>94.16666666666667</v>
      </c>
      <c r="F53" s="492"/>
      <c r="G53" s="408"/>
      <c r="H53" s="408">
        <f t="shared" si="3"/>
        <v>18.83333333333333</v>
      </c>
      <c r="I53" s="492">
        <f t="shared" si="4"/>
        <v>113</v>
      </c>
      <c r="J53" s="492"/>
      <c r="K53" s="492"/>
      <c r="L53" s="442"/>
      <c r="M53" s="442"/>
      <c r="N53" s="442"/>
      <c r="O53" s="442"/>
    </row>
    <row r="54" spans="1:15" ht="15.75">
      <c r="A54" s="442"/>
      <c r="B54" s="485" t="s">
        <v>161</v>
      </c>
      <c r="C54" s="485"/>
      <c r="D54" s="485"/>
      <c r="E54" s="492">
        <f t="shared" si="5"/>
        <v>98.33333333333334</v>
      </c>
      <c r="F54" s="492"/>
      <c r="G54" s="408"/>
      <c r="H54" s="408">
        <f t="shared" si="3"/>
        <v>19.666666666666657</v>
      </c>
      <c r="I54" s="492">
        <f t="shared" si="4"/>
        <v>118</v>
      </c>
      <c r="J54" s="492"/>
      <c r="K54" s="492"/>
      <c r="L54" s="442"/>
      <c r="M54" s="442"/>
      <c r="N54" s="442"/>
      <c r="O54" s="442"/>
    </row>
    <row r="55" spans="1:15" ht="15.75">
      <c r="A55" s="442"/>
      <c r="B55" s="485" t="s">
        <v>162</v>
      </c>
      <c r="C55" s="485"/>
      <c r="D55" s="485"/>
      <c r="E55" s="492">
        <f t="shared" si="5"/>
        <v>102.5</v>
      </c>
      <c r="F55" s="492"/>
      <c r="G55" s="408"/>
      <c r="H55" s="408">
        <f t="shared" si="3"/>
        <v>20.5</v>
      </c>
      <c r="I55" s="492">
        <f t="shared" si="4"/>
        <v>123</v>
      </c>
      <c r="J55" s="492"/>
      <c r="K55" s="492"/>
      <c r="L55" s="442"/>
      <c r="M55" s="442"/>
      <c r="N55" s="442"/>
      <c r="O55" s="442"/>
    </row>
    <row r="56" spans="1:15" ht="15.75">
      <c r="A56" s="442"/>
      <c r="B56" s="485" t="s">
        <v>163</v>
      </c>
      <c r="C56" s="485"/>
      <c r="D56" s="485"/>
      <c r="E56" s="492">
        <f t="shared" si="5"/>
        <v>106.66666666666667</v>
      </c>
      <c r="F56" s="492"/>
      <c r="G56" s="408"/>
      <c r="H56" s="408">
        <f t="shared" si="3"/>
        <v>21.33333333333333</v>
      </c>
      <c r="I56" s="492">
        <f t="shared" si="4"/>
        <v>128</v>
      </c>
      <c r="J56" s="492"/>
      <c r="K56" s="492"/>
      <c r="L56" s="442"/>
      <c r="M56" s="442"/>
      <c r="N56" s="442"/>
      <c r="O56" s="442"/>
    </row>
    <row r="57" spans="1:15" ht="15.75">
      <c r="A57" s="442"/>
      <c r="B57" s="485" t="s">
        <v>164</v>
      </c>
      <c r="C57" s="485"/>
      <c r="D57" s="485"/>
      <c r="E57" s="492">
        <f t="shared" si="5"/>
        <v>110.83333333333334</v>
      </c>
      <c r="F57" s="492"/>
      <c r="G57" s="408"/>
      <c r="H57" s="408">
        <f t="shared" si="3"/>
        <v>22.166666666666657</v>
      </c>
      <c r="I57" s="492">
        <f t="shared" si="4"/>
        <v>133</v>
      </c>
      <c r="J57" s="492"/>
      <c r="K57" s="492"/>
      <c r="L57" s="442"/>
      <c r="M57" s="442"/>
      <c r="N57" s="442"/>
      <c r="O57" s="442"/>
    </row>
    <row r="58" spans="1:15" ht="15.75">
      <c r="A58" s="442"/>
      <c r="B58" s="485" t="s">
        <v>165</v>
      </c>
      <c r="C58" s="485"/>
      <c r="D58" s="485"/>
      <c r="E58" s="492">
        <f t="shared" si="5"/>
        <v>115</v>
      </c>
      <c r="F58" s="492"/>
      <c r="G58" s="408"/>
      <c r="H58" s="408">
        <f t="shared" si="3"/>
        <v>23</v>
      </c>
      <c r="I58" s="492">
        <f t="shared" si="4"/>
        <v>138</v>
      </c>
      <c r="J58" s="492"/>
      <c r="K58" s="492"/>
      <c r="L58" s="442"/>
      <c r="M58" s="442"/>
      <c r="N58" s="442"/>
      <c r="O58" s="442"/>
    </row>
    <row r="59" spans="1:15" ht="15.75">
      <c r="A59" s="442"/>
      <c r="B59" s="485" t="s">
        <v>166</v>
      </c>
      <c r="C59" s="485"/>
      <c r="D59" s="485"/>
      <c r="E59" s="492">
        <f t="shared" si="5"/>
        <v>119.16666666666667</v>
      </c>
      <c r="F59" s="492"/>
      <c r="G59" s="408"/>
      <c r="H59" s="408">
        <f t="shared" si="3"/>
        <v>23.83333333333333</v>
      </c>
      <c r="I59" s="492">
        <f t="shared" si="4"/>
        <v>143</v>
      </c>
      <c r="J59" s="492"/>
      <c r="K59" s="492"/>
      <c r="L59" s="442"/>
      <c r="M59" s="442"/>
      <c r="N59" s="442"/>
      <c r="O59" s="442"/>
    </row>
    <row r="60" spans="1:15" ht="15.75">
      <c r="A60" s="442"/>
      <c r="B60" s="485" t="s">
        <v>167</v>
      </c>
      <c r="C60" s="485"/>
      <c r="D60" s="485"/>
      <c r="E60" s="492">
        <f t="shared" si="5"/>
        <v>123.33333333333334</v>
      </c>
      <c r="F60" s="492"/>
      <c r="G60" s="408"/>
      <c r="H60" s="408">
        <f t="shared" si="3"/>
        <v>24.666666666666657</v>
      </c>
      <c r="I60" s="492">
        <f t="shared" si="4"/>
        <v>148</v>
      </c>
      <c r="J60" s="492"/>
      <c r="K60" s="492"/>
      <c r="L60" s="442"/>
      <c r="M60" s="442"/>
      <c r="N60" s="442"/>
      <c r="O60" s="442"/>
    </row>
    <row r="61" spans="1:15" ht="15.75">
      <c r="A61" s="442"/>
      <c r="B61" s="485" t="s">
        <v>168</v>
      </c>
      <c r="C61" s="485"/>
      <c r="D61" s="485"/>
      <c r="E61" s="492">
        <f t="shared" si="5"/>
        <v>127.5</v>
      </c>
      <c r="F61" s="492"/>
      <c r="G61" s="408"/>
      <c r="H61" s="408">
        <f t="shared" si="3"/>
        <v>25.5</v>
      </c>
      <c r="I61" s="492">
        <f t="shared" si="4"/>
        <v>153</v>
      </c>
      <c r="J61" s="492"/>
      <c r="K61" s="492"/>
      <c r="L61" s="442"/>
      <c r="M61" s="442"/>
      <c r="N61" s="442"/>
      <c r="O61" s="442"/>
    </row>
    <row r="62" spans="1:15" ht="15.75">
      <c r="A62" s="442"/>
      <c r="B62" s="485" t="s">
        <v>169</v>
      </c>
      <c r="C62" s="485"/>
      <c r="D62" s="485"/>
      <c r="E62" s="492">
        <f t="shared" si="5"/>
        <v>131.66666666666669</v>
      </c>
      <c r="F62" s="492"/>
      <c r="G62" s="408"/>
      <c r="H62" s="408">
        <f t="shared" si="3"/>
        <v>26.333333333333314</v>
      </c>
      <c r="I62" s="492">
        <f t="shared" si="4"/>
        <v>158</v>
      </c>
      <c r="J62" s="492"/>
      <c r="K62" s="492"/>
      <c r="L62" s="442"/>
      <c r="M62" s="442"/>
      <c r="N62" s="442"/>
      <c r="O62" s="442"/>
    </row>
    <row r="63" spans="1:15" ht="15.75">
      <c r="A63" s="442"/>
      <c r="B63" s="485" t="s">
        <v>170</v>
      </c>
      <c r="C63" s="485"/>
      <c r="D63" s="485"/>
      <c r="E63" s="492">
        <f t="shared" si="5"/>
        <v>135.83333333333334</v>
      </c>
      <c r="F63" s="492"/>
      <c r="G63" s="408"/>
      <c r="H63" s="408">
        <f t="shared" si="3"/>
        <v>27.166666666666657</v>
      </c>
      <c r="I63" s="492">
        <f t="shared" si="4"/>
        <v>163</v>
      </c>
      <c r="J63" s="492"/>
      <c r="K63" s="492"/>
      <c r="L63" s="442"/>
      <c r="M63" s="442"/>
      <c r="N63" s="442"/>
      <c r="O63" s="442"/>
    </row>
    <row r="64" spans="1:15" ht="15.75">
      <c r="A64" s="442"/>
      <c r="B64" s="485" t="s">
        <v>171</v>
      </c>
      <c r="C64" s="485"/>
      <c r="D64" s="485"/>
      <c r="E64" s="492">
        <f t="shared" si="5"/>
        <v>140</v>
      </c>
      <c r="F64" s="492"/>
      <c r="G64" s="408"/>
      <c r="H64" s="408">
        <f t="shared" si="3"/>
        <v>28</v>
      </c>
      <c r="I64" s="492">
        <f t="shared" si="4"/>
        <v>168</v>
      </c>
      <c r="J64" s="492"/>
      <c r="K64" s="492"/>
      <c r="L64" s="442"/>
      <c r="M64" s="442"/>
      <c r="N64" s="442"/>
      <c r="O64" s="442"/>
    </row>
    <row r="65" spans="1:15" ht="15.75">
      <c r="A65" s="442"/>
      <c r="B65" s="485" t="s">
        <v>172</v>
      </c>
      <c r="C65" s="485"/>
      <c r="D65" s="485"/>
      <c r="E65" s="492">
        <f t="shared" si="5"/>
        <v>144.16666666666669</v>
      </c>
      <c r="F65" s="492"/>
      <c r="G65" s="408"/>
      <c r="H65" s="408">
        <f t="shared" si="3"/>
        <v>28.833333333333314</v>
      </c>
      <c r="I65" s="492">
        <f t="shared" si="4"/>
        <v>173</v>
      </c>
      <c r="J65" s="492"/>
      <c r="K65" s="492"/>
      <c r="L65" s="442"/>
      <c r="M65" s="442"/>
      <c r="N65" s="442"/>
      <c r="O65" s="442"/>
    </row>
    <row r="66" spans="1:15" ht="15.75">
      <c r="A66" s="442"/>
      <c r="B66" s="485" t="s">
        <v>173</v>
      </c>
      <c r="C66" s="485"/>
      <c r="D66" s="485"/>
      <c r="E66" s="492">
        <f t="shared" si="5"/>
        <v>148.33333333333334</v>
      </c>
      <c r="F66" s="492"/>
      <c r="G66" s="408"/>
      <c r="H66" s="408">
        <f t="shared" si="3"/>
        <v>29.666666666666657</v>
      </c>
      <c r="I66" s="492">
        <f t="shared" si="4"/>
        <v>178</v>
      </c>
      <c r="J66" s="492"/>
      <c r="K66" s="492"/>
      <c r="L66" s="442"/>
      <c r="M66" s="442"/>
      <c r="N66" s="442"/>
      <c r="O66" s="442"/>
    </row>
    <row r="67" spans="1:15" ht="15.75">
      <c r="A67" s="442"/>
      <c r="B67" s="485" t="s">
        <v>174</v>
      </c>
      <c r="C67" s="485"/>
      <c r="D67" s="485"/>
      <c r="E67" s="492">
        <f t="shared" si="5"/>
        <v>152.5</v>
      </c>
      <c r="F67" s="492"/>
      <c r="G67" s="408"/>
      <c r="H67" s="408">
        <f t="shared" si="3"/>
        <v>30.5</v>
      </c>
      <c r="I67" s="492">
        <f t="shared" si="4"/>
        <v>183</v>
      </c>
      <c r="J67" s="492"/>
      <c r="K67" s="492"/>
      <c r="L67" s="442"/>
      <c r="M67" s="442"/>
      <c r="N67" s="442"/>
      <c r="O67" s="442"/>
    </row>
    <row r="68" spans="1:15" ht="15.75">
      <c r="A68" s="442"/>
      <c r="B68" s="442"/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</row>
    <row r="69" spans="1:15" ht="15.75">
      <c r="A69" s="496" t="s">
        <v>256</v>
      </c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42"/>
      <c r="N69" s="442"/>
      <c r="O69" s="442"/>
    </row>
    <row r="70" spans="1:15" ht="15.75">
      <c r="A70" s="442"/>
      <c r="B70" s="442"/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442"/>
    </row>
    <row r="71" spans="1:15" ht="15.75">
      <c r="A71" s="451" t="s">
        <v>261</v>
      </c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</row>
    <row r="72" spans="1:15" ht="15.75">
      <c r="A72" s="442"/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</row>
    <row r="73" spans="1:15" ht="15.75">
      <c r="A73" s="442"/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</row>
  </sheetData>
  <sheetProtection/>
  <mergeCells count="158">
    <mergeCell ref="I6:M6"/>
    <mergeCell ref="I8:M8"/>
    <mergeCell ref="I57:K57"/>
    <mergeCell ref="I63:K63"/>
    <mergeCell ref="I44:K44"/>
    <mergeCell ref="I45:K45"/>
    <mergeCell ref="I46:K46"/>
    <mergeCell ref="I55:K55"/>
    <mergeCell ref="I56:K56"/>
    <mergeCell ref="I53:K53"/>
    <mergeCell ref="I58:K58"/>
    <mergeCell ref="I64:K64"/>
    <mergeCell ref="I65:K65"/>
    <mergeCell ref="I66:K66"/>
    <mergeCell ref="I59:K59"/>
    <mergeCell ref="I60:K60"/>
    <mergeCell ref="I61:K61"/>
    <mergeCell ref="I62:K62"/>
    <mergeCell ref="E57:F57"/>
    <mergeCell ref="I47:K47"/>
    <mergeCell ref="I48:K48"/>
    <mergeCell ref="I49:K49"/>
    <mergeCell ref="I50:K50"/>
    <mergeCell ref="I51:K51"/>
    <mergeCell ref="I52:K52"/>
    <mergeCell ref="I54:K54"/>
    <mergeCell ref="B54:D54"/>
    <mergeCell ref="B55:D55"/>
    <mergeCell ref="B56:D56"/>
    <mergeCell ref="B61:D61"/>
    <mergeCell ref="B62:D62"/>
    <mergeCell ref="B57:D57"/>
    <mergeCell ref="B58:D58"/>
    <mergeCell ref="E64:F64"/>
    <mergeCell ref="E63:F63"/>
    <mergeCell ref="B63:D63"/>
    <mergeCell ref="B64:D64"/>
    <mergeCell ref="E62:F62"/>
    <mergeCell ref="E61:F61"/>
    <mergeCell ref="A69:L69"/>
    <mergeCell ref="B65:D65"/>
    <mergeCell ref="B66:D66"/>
    <mergeCell ref="B67:D67"/>
    <mergeCell ref="I67:K67"/>
    <mergeCell ref="E67:F67"/>
    <mergeCell ref="E66:F66"/>
    <mergeCell ref="E65:F65"/>
    <mergeCell ref="B47:D47"/>
    <mergeCell ref="E60:F60"/>
    <mergeCell ref="E59:F59"/>
    <mergeCell ref="B59:D59"/>
    <mergeCell ref="B60:D60"/>
    <mergeCell ref="B48:D48"/>
    <mergeCell ref="B49:D49"/>
    <mergeCell ref="B50:D50"/>
    <mergeCell ref="E52:F52"/>
    <mergeCell ref="E51:F51"/>
    <mergeCell ref="E48:F48"/>
    <mergeCell ref="B53:D53"/>
    <mergeCell ref="E56:F56"/>
    <mergeCell ref="E55:F55"/>
    <mergeCell ref="E54:F54"/>
    <mergeCell ref="E53:F53"/>
    <mergeCell ref="B51:D51"/>
    <mergeCell ref="B52:D52"/>
    <mergeCell ref="E50:F50"/>
    <mergeCell ref="E49:F49"/>
    <mergeCell ref="E58:F58"/>
    <mergeCell ref="A15:A17"/>
    <mergeCell ref="B15:E17"/>
    <mergeCell ref="F15:H17"/>
    <mergeCell ref="E47:F47"/>
    <mergeCell ref="E46:F46"/>
    <mergeCell ref="E45:F45"/>
    <mergeCell ref="E44:F44"/>
    <mergeCell ref="B44:D44"/>
    <mergeCell ref="B45:D45"/>
    <mergeCell ref="B46:D46"/>
    <mergeCell ref="K2:M2"/>
    <mergeCell ref="I3:M3"/>
    <mergeCell ref="I4:M4"/>
    <mergeCell ref="K5:L5"/>
    <mergeCell ref="C14:K14"/>
    <mergeCell ref="B43:D43"/>
    <mergeCell ref="I43:K43"/>
    <mergeCell ref="I15:I17"/>
    <mergeCell ref="K19:L19"/>
    <mergeCell ref="E43:F43"/>
    <mergeCell ref="F21:H21"/>
    <mergeCell ref="K21:L21"/>
    <mergeCell ref="C22:E22"/>
    <mergeCell ref="F22:H22"/>
    <mergeCell ref="K22:L22"/>
    <mergeCell ref="K15:L17"/>
    <mergeCell ref="C19:E19"/>
    <mergeCell ref="F19:H19"/>
    <mergeCell ref="C23:E23"/>
    <mergeCell ref="F23:H23"/>
    <mergeCell ref="K23:L23"/>
    <mergeCell ref="C20:E20"/>
    <mergeCell ref="F20:H20"/>
    <mergeCell ref="K20:L20"/>
    <mergeCell ref="C21:E21"/>
    <mergeCell ref="F24:H24"/>
    <mergeCell ref="C27:E27"/>
    <mergeCell ref="F27:H27"/>
    <mergeCell ref="K27:L27"/>
    <mergeCell ref="C28:E28"/>
    <mergeCell ref="F28:H28"/>
    <mergeCell ref="K28:L28"/>
    <mergeCell ref="K24:L24"/>
    <mergeCell ref="C24:E24"/>
    <mergeCell ref="F29:H29"/>
    <mergeCell ref="K29:L29"/>
    <mergeCell ref="K30:L30"/>
    <mergeCell ref="C35:E35"/>
    <mergeCell ref="F35:H35"/>
    <mergeCell ref="K35:L35"/>
    <mergeCell ref="C31:E31"/>
    <mergeCell ref="F31:H31"/>
    <mergeCell ref="K31:L31"/>
    <mergeCell ref="C29:E29"/>
    <mergeCell ref="B41:E41"/>
    <mergeCell ref="F40:H40"/>
    <mergeCell ref="F41:H41"/>
    <mergeCell ref="K40:L40"/>
    <mergeCell ref="K41:L41"/>
    <mergeCell ref="B40:E40"/>
    <mergeCell ref="F37:H37"/>
    <mergeCell ref="C34:E34"/>
    <mergeCell ref="A12:M12"/>
    <mergeCell ref="F25:H25"/>
    <mergeCell ref="K25:L25"/>
    <mergeCell ref="B19:B25"/>
    <mergeCell ref="A26:L26"/>
    <mergeCell ref="F34:H34"/>
    <mergeCell ref="C33:E33"/>
    <mergeCell ref="F33:H33"/>
    <mergeCell ref="F1:L1"/>
    <mergeCell ref="A13:M13"/>
    <mergeCell ref="B39:L39"/>
    <mergeCell ref="K36:L36"/>
    <mergeCell ref="K37:L37"/>
    <mergeCell ref="K33:L33"/>
    <mergeCell ref="K34:L34"/>
    <mergeCell ref="C30:E30"/>
    <mergeCell ref="F30:H30"/>
    <mergeCell ref="C25:E25"/>
    <mergeCell ref="A18:L18"/>
    <mergeCell ref="B27:B31"/>
    <mergeCell ref="A32:L32"/>
    <mergeCell ref="B33:B38"/>
    <mergeCell ref="C38:E38"/>
    <mergeCell ref="F38:H38"/>
    <mergeCell ref="K38:L38"/>
    <mergeCell ref="C36:E36"/>
    <mergeCell ref="F36:H36"/>
    <mergeCell ref="C37:E37"/>
  </mergeCells>
  <printOptions/>
  <pageMargins left="0.7480314960629921" right="0.2755905511811024" top="0" bottom="0" header="0.1968503937007874" footer="0.236220472440944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7"/>
  <sheetViews>
    <sheetView zoomScaleSheetLayoutView="75" zoomScalePageLayoutView="0" workbookViewId="0" topLeftCell="A1">
      <selection activeCell="B20" sqref="B20:B21"/>
    </sheetView>
  </sheetViews>
  <sheetFormatPr defaultColWidth="9.33203125" defaultRowHeight="12.75"/>
  <cols>
    <col min="1" max="1" width="7" style="0" customWidth="1"/>
    <col min="2" max="2" width="67.5" style="0" customWidth="1"/>
    <col min="3" max="3" width="10.16015625" style="0" customWidth="1"/>
    <col min="4" max="4" width="13.83203125" style="0" customWidth="1"/>
    <col min="5" max="5" width="15.33203125" style="0" customWidth="1"/>
    <col min="6" max="6" width="12" style="0" customWidth="1"/>
    <col min="8" max="8" width="18.33203125" style="0" customWidth="1"/>
    <col min="9" max="9" width="11.5" style="0" customWidth="1"/>
    <col min="10" max="11" width="10.83203125" style="0" customWidth="1"/>
    <col min="12" max="12" width="12.16015625" style="0" customWidth="1"/>
    <col min="13" max="13" width="11.83203125" style="0" customWidth="1"/>
    <col min="14" max="14" width="18.33203125" style="0" customWidth="1"/>
    <col min="15" max="15" width="13.5" style="0" customWidth="1"/>
    <col min="16" max="16" width="12.16015625" style="0" customWidth="1"/>
    <col min="17" max="17" width="12.5" style="13" customWidth="1"/>
    <col min="18" max="18" width="9.33203125" style="13" customWidth="1"/>
    <col min="19" max="19" width="31.33203125" style="0" customWidth="1"/>
    <col min="20" max="20" width="11.16015625" style="0" customWidth="1"/>
    <col min="21" max="21" width="11.33203125" style="0" customWidth="1"/>
    <col min="22" max="22" width="11.5" style="0" customWidth="1"/>
  </cols>
  <sheetData>
    <row r="1" spans="1:26" ht="17.25">
      <c r="A1" s="602" t="s">
        <v>251</v>
      </c>
      <c r="B1" s="602"/>
      <c r="C1" s="602"/>
      <c r="D1" s="602"/>
      <c r="E1" s="602"/>
      <c r="F1" s="11"/>
      <c r="H1" s="12"/>
      <c r="I1" s="12"/>
      <c r="J1" s="12"/>
      <c r="K1" s="12"/>
      <c r="L1" s="12"/>
      <c r="M1" s="12"/>
      <c r="N1" s="12"/>
      <c r="O1" s="12"/>
      <c r="P1" s="12"/>
      <c r="Q1" s="12"/>
      <c r="S1" s="603" t="s">
        <v>1</v>
      </c>
      <c r="T1" s="603"/>
      <c r="U1" s="603"/>
      <c r="V1" s="603"/>
      <c r="W1" s="603"/>
      <c r="X1" s="603"/>
      <c r="Y1" s="603"/>
      <c r="Z1" s="14"/>
    </row>
    <row r="2" spans="1:27" ht="17.25">
      <c r="A2" s="593" t="s">
        <v>246</v>
      </c>
      <c r="B2" s="593"/>
      <c r="C2" s="593"/>
      <c r="D2" s="593"/>
      <c r="E2" s="593"/>
      <c r="F2" s="16"/>
      <c r="H2" s="12"/>
      <c r="I2" s="12"/>
      <c r="J2" s="12"/>
      <c r="K2" s="12"/>
      <c r="L2" s="12"/>
      <c r="M2" s="12"/>
      <c r="N2" s="12"/>
      <c r="O2" s="12"/>
      <c r="P2" s="12"/>
      <c r="Q2" s="12"/>
      <c r="S2" s="604" t="s">
        <v>103</v>
      </c>
      <c r="T2" s="604"/>
      <c r="U2" s="604"/>
      <c r="V2" s="17"/>
      <c r="W2" s="17"/>
      <c r="X2" s="17"/>
      <c r="Y2" s="17"/>
      <c r="Z2" s="17"/>
      <c r="AA2" s="13"/>
    </row>
    <row r="3" spans="1:27" ht="16.5" thickBot="1">
      <c r="A3" s="593" t="s">
        <v>247</v>
      </c>
      <c r="B3" s="593"/>
      <c r="C3" s="593"/>
      <c r="D3" s="593"/>
      <c r="E3" s="593"/>
      <c r="F3" s="16"/>
      <c r="H3" s="606"/>
      <c r="I3" s="606"/>
      <c r="J3" s="606"/>
      <c r="K3" s="601" t="s">
        <v>39</v>
      </c>
      <c r="L3" s="601"/>
      <c r="M3" s="601"/>
      <c r="N3" s="239"/>
      <c r="O3" s="239"/>
      <c r="P3" s="239"/>
      <c r="Q3"/>
      <c r="S3" s="1" t="s">
        <v>177</v>
      </c>
      <c r="T3" s="2"/>
      <c r="U3" s="2"/>
      <c r="V3" s="2"/>
      <c r="W3" s="2"/>
      <c r="X3" s="2"/>
      <c r="Y3" s="2"/>
      <c r="Z3" s="17"/>
      <c r="AA3" s="13"/>
    </row>
    <row r="4" spans="1:27" ht="15.75">
      <c r="A4" s="593" t="str">
        <f>'ель новог 2019'!A4:H4</f>
        <v>09.12.2019 г.</v>
      </c>
      <c r="B4" s="593"/>
      <c r="C4" s="593"/>
      <c r="D4" s="593"/>
      <c r="E4" s="593"/>
      <c r="F4" s="15"/>
      <c r="H4" s="606"/>
      <c r="I4" s="606"/>
      <c r="J4" s="606"/>
      <c r="K4" s="598" t="s">
        <v>42</v>
      </c>
      <c r="L4" s="598"/>
      <c r="M4" s="598"/>
      <c r="N4" s="240"/>
      <c r="O4" s="240"/>
      <c r="P4" s="240"/>
      <c r="Q4"/>
      <c r="S4" s="187" t="s">
        <v>15</v>
      </c>
      <c r="T4" s="188" t="s">
        <v>16</v>
      </c>
      <c r="U4" s="189" t="s">
        <v>17</v>
      </c>
      <c r="V4" s="195" t="s">
        <v>18</v>
      </c>
      <c r="W4" s="2"/>
      <c r="X4" s="2"/>
      <c r="Y4" s="2"/>
      <c r="Z4" s="17"/>
      <c r="AA4" s="13"/>
    </row>
    <row r="5" spans="1:27" ht="15.75" customHeight="1">
      <c r="A5" s="605"/>
      <c r="B5" s="605"/>
      <c r="C5" s="605"/>
      <c r="D5" s="605"/>
      <c r="E5" s="605"/>
      <c r="F5" s="16"/>
      <c r="H5" s="594" t="s">
        <v>192</v>
      </c>
      <c r="I5" s="594"/>
      <c r="J5" s="594"/>
      <c r="K5" s="594">
        <v>70</v>
      </c>
      <c r="L5" s="594"/>
      <c r="M5" s="594"/>
      <c r="N5" s="223"/>
      <c r="O5" s="223"/>
      <c r="P5" s="223"/>
      <c r="Q5"/>
      <c r="S5" s="191" t="s">
        <v>178</v>
      </c>
      <c r="T5" s="18">
        <v>29.2</v>
      </c>
      <c r="U5" s="365">
        <f>'ель новог 2019'!X5</f>
        <v>1.22</v>
      </c>
      <c r="V5" s="563">
        <f>T5/100*T6*2*U5/T7</f>
        <v>24.936799999999998</v>
      </c>
      <c r="W5" s="520" t="s">
        <v>179</v>
      </c>
      <c r="X5" s="521"/>
      <c r="Y5" s="2"/>
      <c r="Z5" s="17"/>
      <c r="AA5" s="13"/>
    </row>
    <row r="6" spans="5:27" ht="15.75">
      <c r="E6" s="16"/>
      <c r="H6" s="594"/>
      <c r="I6" s="594"/>
      <c r="J6" s="594"/>
      <c r="K6" s="594"/>
      <c r="L6" s="594"/>
      <c r="M6" s="594"/>
      <c r="N6" s="223"/>
      <c r="O6" s="223"/>
      <c r="P6" s="223"/>
      <c r="Q6"/>
      <c r="S6" s="191" t="s">
        <v>22</v>
      </c>
      <c r="T6" s="564">
        <v>35</v>
      </c>
      <c r="U6" s="564"/>
      <c r="V6" s="563"/>
      <c r="W6" s="520"/>
      <c r="X6" s="521"/>
      <c r="Y6" s="2"/>
      <c r="Z6" s="17"/>
      <c r="AA6" s="13"/>
    </row>
    <row r="7" spans="1:27" ht="15.75">
      <c r="A7" s="597" t="s">
        <v>19</v>
      </c>
      <c r="B7" s="597"/>
      <c r="C7" s="597"/>
      <c r="D7" s="597"/>
      <c r="E7" s="597"/>
      <c r="F7" s="21"/>
      <c r="H7" s="595" t="s">
        <v>181</v>
      </c>
      <c r="I7" s="595"/>
      <c r="J7" s="595"/>
      <c r="K7" s="595"/>
      <c r="L7" s="595"/>
      <c r="M7" s="595"/>
      <c r="N7" s="596"/>
      <c r="O7" s="238"/>
      <c r="P7" s="238"/>
      <c r="Q7" s="238"/>
      <c r="S7" s="191" t="s">
        <v>24</v>
      </c>
      <c r="T7" s="565">
        <v>1</v>
      </c>
      <c r="U7" s="565"/>
      <c r="V7" s="563"/>
      <c r="W7" s="520"/>
      <c r="X7" s="521"/>
      <c r="Y7" s="2"/>
      <c r="Z7" s="17"/>
      <c r="AA7" s="13"/>
    </row>
    <row r="8" spans="1:27" ht="15.75">
      <c r="A8" s="513" t="s">
        <v>182</v>
      </c>
      <c r="B8" s="513"/>
      <c r="C8" s="513"/>
      <c r="D8" s="513"/>
      <c r="E8" s="513"/>
      <c r="F8" s="22"/>
      <c r="H8" s="514" t="s">
        <v>58</v>
      </c>
      <c r="I8" s="514"/>
      <c r="J8" s="514"/>
      <c r="K8" s="514"/>
      <c r="L8" s="514"/>
      <c r="M8" s="349">
        <f>'ель новог 2019'!P13</f>
        <v>70</v>
      </c>
      <c r="N8" s="49" t="s">
        <v>59</v>
      </c>
      <c r="O8" s="50"/>
      <c r="P8" s="50"/>
      <c r="Q8" s="50"/>
      <c r="S8" s="191" t="s">
        <v>180</v>
      </c>
      <c r="T8" s="23">
        <v>0.022</v>
      </c>
      <c r="U8" s="24">
        <f>'ель новог 2019'!X8</f>
        <v>3.67</v>
      </c>
      <c r="V8" s="404">
        <f>T5/100*T6*2*T8*U8/T7</f>
        <v>1.6503255999999997</v>
      </c>
      <c r="W8" s="520"/>
      <c r="X8" s="521"/>
      <c r="Y8" s="17"/>
      <c r="Z8" s="17"/>
      <c r="AA8" s="13"/>
    </row>
    <row r="9" spans="1:27" ht="18" customHeight="1">
      <c r="A9" s="607" t="s">
        <v>199</v>
      </c>
      <c r="B9" s="607"/>
      <c r="C9" s="607"/>
      <c r="D9" s="607"/>
      <c r="E9" s="607"/>
      <c r="F9" s="266"/>
      <c r="H9" s="514" t="s">
        <v>62</v>
      </c>
      <c r="I9" s="514"/>
      <c r="J9" s="514"/>
      <c r="K9" s="514"/>
      <c r="L9" s="514"/>
      <c r="M9" s="54">
        <f>'ель новог 2019'!P14</f>
        <v>168</v>
      </c>
      <c r="N9" s="49" t="s">
        <v>8</v>
      </c>
      <c r="O9" s="50"/>
      <c r="P9" s="50"/>
      <c r="Q9" s="50"/>
      <c r="S9" s="192" t="s">
        <v>36</v>
      </c>
      <c r="T9" s="566">
        <f>'ель новог 2019'!W9</f>
        <v>64.25999999999999</v>
      </c>
      <c r="U9" s="566"/>
      <c r="V9" s="567"/>
      <c r="W9" s="520"/>
      <c r="X9" s="521"/>
      <c r="Y9" s="17"/>
      <c r="Z9" s="26"/>
      <c r="AA9" s="13"/>
    </row>
    <row r="10" spans="1:27" ht="36" customHeight="1">
      <c r="A10" s="518" t="s">
        <v>25</v>
      </c>
      <c r="B10" s="516" t="s">
        <v>26</v>
      </c>
      <c r="C10" s="519" t="s">
        <v>27</v>
      </c>
      <c r="D10" s="516" t="s">
        <v>197</v>
      </c>
      <c r="E10" s="516"/>
      <c r="F10" s="152"/>
      <c r="H10" s="514" t="s">
        <v>64</v>
      </c>
      <c r="I10" s="514"/>
      <c r="J10" s="514"/>
      <c r="K10" s="514"/>
      <c r="L10" s="514"/>
      <c r="M10" s="54">
        <v>1.3</v>
      </c>
      <c r="N10" s="49"/>
      <c r="O10" s="50"/>
      <c r="P10" s="50"/>
      <c r="Q10" s="50"/>
      <c r="S10" s="193" t="s">
        <v>40</v>
      </c>
      <c r="T10" s="566">
        <f>'ель новог 2019'!W10</f>
        <v>19.36</v>
      </c>
      <c r="U10" s="566"/>
      <c r="V10" s="567"/>
      <c r="W10" s="520"/>
      <c r="X10" s="521"/>
      <c r="Y10" s="173"/>
      <c r="Z10" s="29"/>
      <c r="AA10" s="13"/>
    </row>
    <row r="11" spans="1:27" ht="15.75" customHeight="1">
      <c r="A11" s="518"/>
      <c r="B11" s="516"/>
      <c r="C11" s="519"/>
      <c r="D11" s="515" t="s">
        <v>185</v>
      </c>
      <c r="E11" s="515" t="s">
        <v>198</v>
      </c>
      <c r="F11" s="241"/>
      <c r="H11" s="514" t="s">
        <v>67</v>
      </c>
      <c r="I11" s="514"/>
      <c r="J11" s="514"/>
      <c r="K11" s="514"/>
      <c r="L11" s="514"/>
      <c r="M11" s="54">
        <v>8</v>
      </c>
      <c r="N11" s="49" t="s">
        <v>8</v>
      </c>
      <c r="O11" s="50"/>
      <c r="P11" s="50"/>
      <c r="Q11" s="50"/>
      <c r="S11" s="190" t="s">
        <v>231</v>
      </c>
      <c r="T11" s="566">
        <f>'ель новог 2019'!W11</f>
        <v>4.93</v>
      </c>
      <c r="U11" s="566"/>
      <c r="V11" s="567"/>
      <c r="W11" s="520"/>
      <c r="X11" s="521"/>
      <c r="Y11" s="173"/>
      <c r="Z11" s="29"/>
      <c r="AA11" s="13"/>
    </row>
    <row r="12" spans="1:27" s="43" customFormat="1" ht="15.75" customHeight="1" thickBot="1">
      <c r="A12" s="518"/>
      <c r="B12" s="516"/>
      <c r="C12" s="519"/>
      <c r="D12" s="515"/>
      <c r="E12" s="515"/>
      <c r="F12" s="44"/>
      <c r="R12" s="44"/>
      <c r="S12" s="194" t="s">
        <v>46</v>
      </c>
      <c r="T12" s="571">
        <f>V5+V8+T9+T10+T11</f>
        <v>115.13712559999999</v>
      </c>
      <c r="U12" s="571"/>
      <c r="V12" s="572"/>
      <c r="X12" s="44"/>
      <c r="Y12" s="44"/>
      <c r="Z12" s="45"/>
      <c r="AA12" s="44"/>
    </row>
    <row r="13" spans="1:27" s="43" customFormat="1" ht="15.75" customHeight="1">
      <c r="A13" s="300" t="s">
        <v>108</v>
      </c>
      <c r="B13" s="302" t="s">
        <v>37</v>
      </c>
      <c r="C13" s="303"/>
      <c r="D13" s="304"/>
      <c r="E13" s="305"/>
      <c r="F13" s="242"/>
      <c r="H13" s="50"/>
      <c r="I13" s="50"/>
      <c r="J13" s="50"/>
      <c r="K13" s="69" t="s">
        <v>73</v>
      </c>
      <c r="L13" s="69"/>
      <c r="M13" s="69"/>
      <c r="N13" s="50"/>
      <c r="R13" s="44"/>
      <c r="S13" s="51"/>
      <c r="T13" s="52"/>
      <c r="U13" s="2"/>
      <c r="V13" s="2"/>
      <c r="W13" s="2"/>
      <c r="X13" s="17"/>
      <c r="Y13" s="17"/>
      <c r="Z13" s="45"/>
      <c r="AA13" s="44"/>
    </row>
    <row r="14" spans="1:27" s="43" customFormat="1" ht="15.75" customHeight="1">
      <c r="A14" s="300">
        <v>2</v>
      </c>
      <c r="B14" s="302" t="s">
        <v>41</v>
      </c>
      <c r="C14" s="303"/>
      <c r="D14" s="304"/>
      <c r="E14" s="306"/>
      <c r="F14" s="242"/>
      <c r="H14" s="71"/>
      <c r="I14" s="54" t="s">
        <v>196</v>
      </c>
      <c r="J14" s="54" t="s">
        <v>194</v>
      </c>
      <c r="K14" s="54" t="s">
        <v>195</v>
      </c>
      <c r="L14" s="54" t="s">
        <v>7</v>
      </c>
      <c r="M14" s="54" t="s">
        <v>8</v>
      </c>
      <c r="N14" s="54" t="s">
        <v>77</v>
      </c>
      <c r="R14" s="44"/>
      <c r="S14" s="17"/>
      <c r="T14" s="17"/>
      <c r="U14" s="17"/>
      <c r="V14" s="17"/>
      <c r="W14" s="17"/>
      <c r="X14" s="17"/>
      <c r="Y14" s="17"/>
      <c r="Z14" s="17"/>
      <c r="AA14" s="44"/>
    </row>
    <row r="15" spans="1:27" s="43" customFormat="1" ht="15.75" customHeight="1">
      <c r="A15" s="300"/>
      <c r="B15" s="307" t="s">
        <v>45</v>
      </c>
      <c r="C15" s="303"/>
      <c r="D15" s="304"/>
      <c r="E15" s="304"/>
      <c r="F15" s="154"/>
      <c r="H15" s="54" t="s">
        <v>79</v>
      </c>
      <c r="I15" s="79">
        <f>M$8</f>
        <v>70</v>
      </c>
      <c r="J15" s="54">
        <f>M$10</f>
        <v>1.3</v>
      </c>
      <c r="K15" s="54">
        <v>1.35</v>
      </c>
      <c r="L15" s="54">
        <f>M$9</f>
        <v>168</v>
      </c>
      <c r="M15" s="54">
        <f>M$11</f>
        <v>8</v>
      </c>
      <c r="N15" s="79">
        <f>I15*J15*K15/L15*M15</f>
        <v>5.8500000000000005</v>
      </c>
      <c r="R15" s="44"/>
      <c r="S15" s="55" t="s">
        <v>110</v>
      </c>
      <c r="T15" s="523" t="s">
        <v>39</v>
      </c>
      <c r="U15" s="523"/>
      <c r="V15" s="56" t="s">
        <v>50</v>
      </c>
      <c r="W15" s="17"/>
      <c r="X15" s="17"/>
      <c r="Y15" s="17"/>
      <c r="Z15" s="17"/>
      <c r="AA15" s="44"/>
    </row>
    <row r="16" spans="1:27" s="43" customFormat="1" ht="15.75" customHeight="1">
      <c r="A16" s="300" t="s">
        <v>109</v>
      </c>
      <c r="B16" s="302" t="s">
        <v>47</v>
      </c>
      <c r="C16" s="303"/>
      <c r="D16" s="391">
        <f>J33</f>
        <v>0.4091674885844749</v>
      </c>
      <c r="E16" s="391">
        <f>D16</f>
        <v>0.4091674885844749</v>
      </c>
      <c r="F16" s="154"/>
      <c r="H16" s="54" t="s">
        <v>115</v>
      </c>
      <c r="I16" s="79">
        <f>M$8</f>
        <v>70</v>
      </c>
      <c r="J16" s="54">
        <f>M$10</f>
        <v>1.3</v>
      </c>
      <c r="K16" s="54">
        <v>1.57</v>
      </c>
      <c r="L16" s="54">
        <f>M$9</f>
        <v>168</v>
      </c>
      <c r="M16" s="54">
        <f>M$11</f>
        <v>8</v>
      </c>
      <c r="N16" s="79">
        <f>I16*J16*K16/L16*M16</f>
        <v>6.803333333333334</v>
      </c>
      <c r="R16" s="44"/>
      <c r="S16" s="27" t="s">
        <v>12</v>
      </c>
      <c r="T16" s="58">
        <f>K5</f>
        <v>70</v>
      </c>
      <c r="U16" s="17"/>
      <c r="V16" s="366">
        <f>T12/T16</f>
        <v>1.6448160799999998</v>
      </c>
      <c r="W16" s="60"/>
      <c r="X16" s="60"/>
      <c r="Y16" s="17"/>
      <c r="Z16" s="17"/>
      <c r="AA16" s="44"/>
    </row>
    <row r="17" spans="1:27" s="43" customFormat="1" ht="15.75" customHeight="1">
      <c r="A17" s="300" t="s">
        <v>111</v>
      </c>
      <c r="B17" s="302" t="s">
        <v>48</v>
      </c>
      <c r="C17" s="308">
        <v>34</v>
      </c>
      <c r="D17" s="391">
        <f>D16*$C$17/100</f>
        <v>0.13911694611872147</v>
      </c>
      <c r="E17" s="391">
        <f>D17</f>
        <v>0.13911694611872147</v>
      </c>
      <c r="F17" s="154"/>
      <c r="H17" s="54" t="s">
        <v>116</v>
      </c>
      <c r="I17" s="79">
        <f>M$8</f>
        <v>70</v>
      </c>
      <c r="J17" s="54">
        <f>M$10</f>
        <v>1.3</v>
      </c>
      <c r="K17" s="54">
        <v>1.73</v>
      </c>
      <c r="L17" s="54">
        <f>M$9</f>
        <v>168</v>
      </c>
      <c r="M17" s="54">
        <f>M$11</f>
        <v>8</v>
      </c>
      <c r="N17" s="79">
        <f>I17*J17*K17/L17*M17</f>
        <v>7.496666666666667</v>
      </c>
      <c r="O17" s="62"/>
      <c r="P17" s="63"/>
      <c r="Q17" s="63"/>
      <c r="R17" s="44"/>
      <c r="S17" s="27"/>
      <c r="T17" s="58"/>
      <c r="U17" s="17"/>
      <c r="V17" s="59"/>
      <c r="W17" s="64"/>
      <c r="X17" s="64"/>
      <c r="Y17" s="17"/>
      <c r="Z17" s="17"/>
      <c r="AA17" s="44"/>
    </row>
    <row r="18" spans="1:27" s="43" customFormat="1" ht="15.75" customHeight="1">
      <c r="A18" s="300" t="s">
        <v>112</v>
      </c>
      <c r="B18" s="302" t="s">
        <v>49</v>
      </c>
      <c r="C18" s="308"/>
      <c r="D18" s="391"/>
      <c r="E18" s="391"/>
      <c r="F18" s="154"/>
      <c r="H18" s="54" t="s">
        <v>117</v>
      </c>
      <c r="I18" s="79">
        <f>M$8</f>
        <v>70</v>
      </c>
      <c r="J18" s="54">
        <f>M$10</f>
        <v>1.3</v>
      </c>
      <c r="K18" s="79">
        <v>1.9</v>
      </c>
      <c r="L18" s="54">
        <f>M$9</f>
        <v>168</v>
      </c>
      <c r="M18" s="54">
        <f>M$11</f>
        <v>8</v>
      </c>
      <c r="N18" s="79">
        <f>I18*J18*K18/L18*M18</f>
        <v>8.233333333333334</v>
      </c>
      <c r="O18" s="62"/>
      <c r="P18" s="63"/>
      <c r="Q18" s="63"/>
      <c r="R18" s="44"/>
      <c r="S18" s="78"/>
      <c r="T18" s="17"/>
      <c r="U18" s="17"/>
      <c r="V18" s="17"/>
      <c r="W18" s="17"/>
      <c r="X18" s="17"/>
      <c r="Y18" s="17"/>
      <c r="Z18" s="17"/>
      <c r="AA18" s="44"/>
    </row>
    <row r="19" spans="1:27" s="43" customFormat="1" ht="15.75" customHeight="1">
      <c r="A19" s="300">
        <v>6</v>
      </c>
      <c r="B19" s="302" t="s">
        <v>113</v>
      </c>
      <c r="C19" s="308">
        <v>0.6</v>
      </c>
      <c r="D19" s="391">
        <f>D16*C19/100</f>
        <v>0.0024550049315068493</v>
      </c>
      <c r="E19" s="391">
        <f>D19</f>
        <v>0.0024550049315068493</v>
      </c>
      <c r="F19" s="154"/>
      <c r="O19" s="61"/>
      <c r="P19" s="70"/>
      <c r="Q19" s="70"/>
      <c r="R19" s="44"/>
      <c r="S19" s="533" t="s">
        <v>71</v>
      </c>
      <c r="T19" s="533"/>
      <c r="U19" s="533"/>
      <c r="V19" s="17"/>
      <c r="W19" s="17"/>
      <c r="X19" s="17"/>
      <c r="Y19" s="17"/>
      <c r="Z19" s="17"/>
      <c r="AA19" s="44"/>
    </row>
    <row r="20" spans="1:27" s="43" customFormat="1" ht="15.75" customHeight="1" thickBot="1">
      <c r="A20" s="510">
        <v>7</v>
      </c>
      <c r="B20" s="511" t="s">
        <v>114</v>
      </c>
      <c r="C20" s="517"/>
      <c r="D20" s="501">
        <f>V16</f>
        <v>1.6448160799999998</v>
      </c>
      <c r="E20" s="501">
        <f>D20</f>
        <v>1.6448160799999998</v>
      </c>
      <c r="F20" s="154"/>
      <c r="H20" s="315" t="s">
        <v>232</v>
      </c>
      <c r="I20" s="90"/>
      <c r="J20" s="90"/>
      <c r="K20" s="63"/>
      <c r="L20" s="89"/>
      <c r="M20" s="89"/>
      <c r="N20" s="89"/>
      <c r="O20" s="498" t="s">
        <v>235</v>
      </c>
      <c r="P20" s="498"/>
      <c r="Q20" s="498"/>
      <c r="R20" s="44"/>
      <c r="S20" s="1" t="s">
        <v>254</v>
      </c>
      <c r="T20" s="2"/>
      <c r="U20" s="2"/>
      <c r="V20" s="2"/>
      <c r="W20" s="17"/>
      <c r="X20" s="17"/>
      <c r="Y20" s="17"/>
      <c r="Z20" s="17"/>
      <c r="AA20" s="44"/>
    </row>
    <row r="21" spans="1:27" s="43" customFormat="1" ht="15.75" customHeight="1">
      <c r="A21" s="510"/>
      <c r="B21" s="511"/>
      <c r="C21" s="517"/>
      <c r="D21" s="501"/>
      <c r="E21" s="501"/>
      <c r="F21" s="154"/>
      <c r="H21" s="92" t="s">
        <v>128</v>
      </c>
      <c r="I21" s="92"/>
      <c r="J21" s="92"/>
      <c r="K21" s="328"/>
      <c r="L21" s="329" t="str">
        <f>'ель новог 2019'!O36</f>
        <v>5.84</v>
      </c>
      <c r="M21" s="61" t="s">
        <v>129</v>
      </c>
      <c r="N21" s="61"/>
      <c r="O21" s="498"/>
      <c r="P21" s="498"/>
      <c r="Q21" s="498"/>
      <c r="R21" s="44"/>
      <c r="S21" s="187" t="s">
        <v>15</v>
      </c>
      <c r="T21" s="188" t="s">
        <v>16</v>
      </c>
      <c r="U21" s="189" t="s">
        <v>17</v>
      </c>
      <c r="V21" s="195" t="s">
        <v>18</v>
      </c>
      <c r="W21" s="17"/>
      <c r="X21" s="17"/>
      <c r="Y21" s="17"/>
      <c r="Z21" s="17"/>
      <c r="AA21" s="44"/>
    </row>
    <row r="22" spans="1:27" s="43" customFormat="1" ht="15.75" customHeight="1" thickBot="1">
      <c r="A22" s="300">
        <v>8</v>
      </c>
      <c r="B22" s="302" t="str">
        <f>'ель новог 2019'!B21</f>
        <v>Управленческие расходы</v>
      </c>
      <c r="C22" s="327">
        <f>'ель новог 2019'!C21</f>
        <v>0.1098419005049251</v>
      </c>
      <c r="D22" s="391">
        <f>D34*$C$22</f>
        <v>0.4576745854371879</v>
      </c>
      <c r="E22" s="391">
        <f>E34*$C$22</f>
        <v>0.5034420439809068</v>
      </c>
      <c r="F22" s="154"/>
      <c r="H22" s="587" t="s">
        <v>80</v>
      </c>
      <c r="I22" s="587"/>
      <c r="J22" s="587"/>
      <c r="K22" s="96"/>
      <c r="L22" s="237" t="s">
        <v>71</v>
      </c>
      <c r="M22" s="13"/>
      <c r="N22"/>
      <c r="O22" s="237"/>
      <c r="P22" s="237"/>
      <c r="Q22" s="237"/>
      <c r="R22" s="44"/>
      <c r="S22" s="191" t="s">
        <v>104</v>
      </c>
      <c r="T22" s="18">
        <f>'ель новог 2019'!W27</f>
        <v>25</v>
      </c>
      <c r="U22" s="365">
        <f>'ель новог 2019'!X27</f>
        <v>1.9</v>
      </c>
      <c r="V22" s="563">
        <f>T22/100*T23*U22/T24</f>
        <v>23.75</v>
      </c>
      <c r="W22" s="17"/>
      <c r="X22" s="17"/>
      <c r="Y22" s="17"/>
      <c r="Z22" s="17"/>
      <c r="AA22" s="44"/>
    </row>
    <row r="23" spans="1:27" s="43" customFormat="1" ht="15.75" customHeight="1">
      <c r="A23" s="300">
        <v>9</v>
      </c>
      <c r="B23" s="302" t="s">
        <v>61</v>
      </c>
      <c r="C23" s="309"/>
      <c r="D23" s="391"/>
      <c r="E23" s="391"/>
      <c r="F23" s="154"/>
      <c r="H23" s="587"/>
      <c r="I23" s="587"/>
      <c r="J23" s="587"/>
      <c r="K23" s="240"/>
      <c r="L23" s="578"/>
      <c r="M23" s="579"/>
      <c r="N23" s="579"/>
      <c r="O23" s="580"/>
      <c r="P23" s="186" t="s">
        <v>193</v>
      </c>
      <c r="Q23" s="211"/>
      <c r="R23" s="44"/>
      <c r="S23" s="191" t="s">
        <v>22</v>
      </c>
      <c r="T23" s="564">
        <v>50</v>
      </c>
      <c r="U23" s="564"/>
      <c r="V23" s="563"/>
      <c r="W23" s="68"/>
      <c r="X23" s="26"/>
      <c r="Y23" s="26"/>
      <c r="Z23" s="17"/>
      <c r="AA23" s="44"/>
    </row>
    <row r="24" spans="1:27" s="43" customFormat="1" ht="15.75" customHeight="1">
      <c r="A24" s="300">
        <v>10</v>
      </c>
      <c r="B24" s="302" t="s">
        <v>63</v>
      </c>
      <c r="C24" s="310">
        <v>0</v>
      </c>
      <c r="D24" s="391">
        <f>SUM(D15:D23)*$C$24/100</f>
        <v>0</v>
      </c>
      <c r="E24" s="391">
        <f>D24</f>
        <v>0</v>
      </c>
      <c r="F24" s="154"/>
      <c r="H24" s="103"/>
      <c r="I24" s="104"/>
      <c r="J24" s="105" t="s">
        <v>183</v>
      </c>
      <c r="K24" s="132"/>
      <c r="L24" s="586" t="s">
        <v>47</v>
      </c>
      <c r="M24" s="582"/>
      <c r="N24" s="582"/>
      <c r="O24" s="583"/>
      <c r="P24" s="396">
        <f>J58/410</f>
        <v>0.059798858447488584</v>
      </c>
      <c r="Q24" s="164"/>
      <c r="R24" s="44"/>
      <c r="S24" s="191" t="s">
        <v>24</v>
      </c>
      <c r="T24" s="565">
        <v>1</v>
      </c>
      <c r="U24" s="565"/>
      <c r="V24" s="563"/>
      <c r="W24" s="68"/>
      <c r="X24" s="26"/>
      <c r="Y24" s="26"/>
      <c r="Z24" s="17"/>
      <c r="AA24" s="44"/>
    </row>
    <row r="25" spans="1:27" s="43" customFormat="1" ht="15.75" customHeight="1">
      <c r="A25" s="300">
        <v>11</v>
      </c>
      <c r="B25" s="302" t="s">
        <v>66</v>
      </c>
      <c r="C25" s="310"/>
      <c r="D25" s="391"/>
      <c r="E25" s="391"/>
      <c r="F25" s="242"/>
      <c r="H25" s="107" t="s">
        <v>60</v>
      </c>
      <c r="I25" s="105"/>
      <c r="J25" s="353">
        <f>L21/K5</f>
        <v>0.08342857142857142</v>
      </c>
      <c r="K25" s="196"/>
      <c r="L25" s="586" t="s">
        <v>48</v>
      </c>
      <c r="M25" s="582"/>
      <c r="N25" s="582"/>
      <c r="O25" s="583"/>
      <c r="P25" s="396">
        <f>P24*Q25</f>
        <v>0.02033161187214612</v>
      </c>
      <c r="Q25" s="164">
        <v>0.34</v>
      </c>
      <c r="R25" s="44"/>
      <c r="S25" s="191" t="s">
        <v>105</v>
      </c>
      <c r="T25" s="23">
        <v>0.022</v>
      </c>
      <c r="U25" s="24">
        <f>'ель новог 2019'!X30</f>
        <v>3.67</v>
      </c>
      <c r="V25" s="404">
        <f>T22/100*T23*2*T25*U25/T24</f>
        <v>2.0184999999999995</v>
      </c>
      <c r="Z25" s="17"/>
      <c r="AA25" s="44"/>
    </row>
    <row r="26" spans="1:27" s="43" customFormat="1" ht="15.75" customHeight="1">
      <c r="A26" s="301">
        <v>12</v>
      </c>
      <c r="B26" s="311" t="s">
        <v>133</v>
      </c>
      <c r="C26" s="93"/>
      <c r="D26" s="392">
        <f>P33</f>
        <v>0.6984426837302167</v>
      </c>
      <c r="E26" s="392">
        <f>D26</f>
        <v>0.6984426837302167</v>
      </c>
      <c r="F26" s="44"/>
      <c r="H26" s="107" t="s">
        <v>132</v>
      </c>
      <c r="I26" s="110">
        <v>0.5</v>
      </c>
      <c r="J26" s="353">
        <f>J25*I26</f>
        <v>0.04171428571428571</v>
      </c>
      <c r="K26" s="9"/>
      <c r="L26" s="586" t="s">
        <v>49</v>
      </c>
      <c r="M26" s="582"/>
      <c r="N26" s="582"/>
      <c r="O26" s="583"/>
      <c r="P26" s="396">
        <f>P24*Q64</f>
        <v>0</v>
      </c>
      <c r="Q26" s="165"/>
      <c r="R26" s="44"/>
      <c r="S26" s="192" t="s">
        <v>36</v>
      </c>
      <c r="T26" s="566">
        <f>'ель новог 2019'!W31</f>
        <v>11.08</v>
      </c>
      <c r="U26" s="566"/>
      <c r="V26" s="566"/>
      <c r="Z26" s="17"/>
      <c r="AA26" s="44"/>
    </row>
    <row r="27" spans="1:27" s="43" customFormat="1" ht="15.75" customHeight="1">
      <c r="A27" s="300">
        <v>13</v>
      </c>
      <c r="B27" s="302" t="s">
        <v>69</v>
      </c>
      <c r="C27" s="310"/>
      <c r="D27" s="393">
        <f>SUM(D15:D26)</f>
        <v>3.351672788802108</v>
      </c>
      <c r="E27" s="393">
        <f>SUM(E15:E26)</f>
        <v>3.397440247345826</v>
      </c>
      <c r="F27" s="243"/>
      <c r="H27" s="107" t="s">
        <v>34</v>
      </c>
      <c r="I27" s="105"/>
      <c r="J27" s="353">
        <f>$M$8*1.3*0.002*8/K$5</f>
        <v>0.0208</v>
      </c>
      <c r="K27" s="9"/>
      <c r="L27" s="592" t="s">
        <v>146</v>
      </c>
      <c r="M27" s="582"/>
      <c r="N27" s="582"/>
      <c r="O27" s="583"/>
      <c r="P27" s="396">
        <f>P24*Q27</f>
        <v>0.00035879315068493154</v>
      </c>
      <c r="Q27" s="165">
        <v>0.006</v>
      </c>
      <c r="R27" s="44"/>
      <c r="S27" s="193" t="s">
        <v>40</v>
      </c>
      <c r="T27" s="566">
        <f>'ель новог 2019'!W32</f>
        <v>19.36</v>
      </c>
      <c r="U27" s="566"/>
      <c r="V27" s="566"/>
      <c r="Z27" s="17"/>
      <c r="AA27" s="44"/>
    </row>
    <row r="28" spans="1:27" s="43" customFormat="1" ht="15.75" customHeight="1">
      <c r="A28" s="301">
        <v>14</v>
      </c>
      <c r="B28" s="312" t="s">
        <v>188</v>
      </c>
      <c r="C28" s="313"/>
      <c r="D28" s="330">
        <f>(D34-D27)/D27</f>
        <v>0.24316033491916106</v>
      </c>
      <c r="E28" s="330">
        <f>(E34-E27)/E27</f>
        <v>0.3490548765100314</v>
      </c>
      <c r="F28" s="154"/>
      <c r="H28" s="107" t="s">
        <v>65</v>
      </c>
      <c r="I28" s="112">
        <v>1.7</v>
      </c>
      <c r="J28" s="353">
        <f>(J25+J26)*$I$28</f>
        <v>0.21274285714285712</v>
      </c>
      <c r="K28" s="9"/>
      <c r="L28" s="581" t="s">
        <v>50</v>
      </c>
      <c r="M28" s="582"/>
      <c r="N28" s="582"/>
      <c r="O28" s="583"/>
      <c r="P28" s="397">
        <f>V33*2</f>
        <v>0.611385</v>
      </c>
      <c r="Q28" s="167"/>
      <c r="R28" s="13"/>
      <c r="S28" s="190" t="s">
        <v>231</v>
      </c>
      <c r="T28" s="566">
        <f>'ель новог 2019'!W33</f>
        <v>4.93</v>
      </c>
      <c r="U28" s="566"/>
      <c r="V28" s="566"/>
      <c r="W28"/>
      <c r="X28"/>
      <c r="Y28"/>
      <c r="Z28" s="17"/>
      <c r="AA28" s="44"/>
    </row>
    <row r="29" spans="1:27" s="43" customFormat="1" ht="21" customHeight="1" thickBot="1">
      <c r="A29" s="300">
        <v>15</v>
      </c>
      <c r="B29" s="302" t="s">
        <v>72</v>
      </c>
      <c r="C29" s="309"/>
      <c r="D29" s="391">
        <f>D27*D28</f>
        <v>0.8149938778645591</v>
      </c>
      <c r="E29" s="391">
        <f>E27*E28</f>
        <v>1.1858930859875079</v>
      </c>
      <c r="F29" s="244"/>
      <c r="H29" s="107" t="s">
        <v>68</v>
      </c>
      <c r="I29" s="325">
        <v>0.1</v>
      </c>
      <c r="J29" s="353">
        <f>(J25+J26)*$I$29</f>
        <v>0.012514285714285714</v>
      </c>
      <c r="K29" s="9"/>
      <c r="L29" s="584" t="s">
        <v>221</v>
      </c>
      <c r="M29" s="582"/>
      <c r="N29" s="582"/>
      <c r="O29" s="583"/>
      <c r="P29" s="397">
        <f>P24*Q29</f>
        <v>0.00656842025989714</v>
      </c>
      <c r="Q29" s="326">
        <f>C22</f>
        <v>0.1098419005049251</v>
      </c>
      <c r="R29" s="13"/>
      <c r="S29" s="194" t="s">
        <v>46</v>
      </c>
      <c r="T29" s="530">
        <f>V22+V25+T26+T27+T28</f>
        <v>61.1385</v>
      </c>
      <c r="U29" s="531"/>
      <c r="V29" s="532"/>
      <c r="W29"/>
      <c r="X29"/>
      <c r="Y29"/>
      <c r="Z29" s="17"/>
      <c r="AA29" s="44"/>
    </row>
    <row r="30" spans="1:26" s="43" customFormat="1" ht="17.25" customHeight="1">
      <c r="A30" s="510">
        <v>16</v>
      </c>
      <c r="B30" s="511" t="s">
        <v>118</v>
      </c>
      <c r="C30" s="512"/>
      <c r="D30" s="501">
        <f>D27*C30</f>
        <v>0</v>
      </c>
      <c r="E30" s="501">
        <f>D30</f>
        <v>0</v>
      </c>
      <c r="F30" s="244"/>
      <c r="H30" s="107" t="s">
        <v>70</v>
      </c>
      <c r="I30" s="112"/>
      <c r="J30" s="353"/>
      <c r="K30" s="9"/>
      <c r="L30" s="585" t="s">
        <v>61</v>
      </c>
      <c r="M30" s="582"/>
      <c r="N30" s="582"/>
      <c r="O30" s="583"/>
      <c r="P30" s="396">
        <f>P24*Q68</f>
        <v>0</v>
      </c>
      <c r="Q30"/>
      <c r="R30" s="13"/>
      <c r="S30"/>
      <c r="T30"/>
      <c r="U30"/>
      <c r="V30"/>
      <c r="W30"/>
      <c r="X30"/>
      <c r="Y30"/>
      <c r="Z30" s="2"/>
    </row>
    <row r="31" spans="1:26" s="43" customFormat="1" ht="15.75" customHeight="1">
      <c r="A31" s="510"/>
      <c r="B31" s="511"/>
      <c r="C31" s="512"/>
      <c r="D31" s="501"/>
      <c r="E31" s="501"/>
      <c r="F31" s="245"/>
      <c r="H31" s="107" t="s">
        <v>74</v>
      </c>
      <c r="I31" s="112">
        <v>0.1</v>
      </c>
      <c r="J31" s="353">
        <f>(J25+J26+J27+J28+J29+J30)*((28*3+28)/(365*3))</f>
        <v>0.037967488584474886</v>
      </c>
      <c r="K31" s="9"/>
      <c r="L31" s="585" t="s">
        <v>147</v>
      </c>
      <c r="M31" s="582"/>
      <c r="N31" s="582"/>
      <c r="O31" s="583"/>
      <c r="P31" s="396">
        <f>(P24+P25+P26+P27+P28+P29+P30)*Q31</f>
        <v>0</v>
      </c>
      <c r="Q31" s="168"/>
      <c r="R31" s="13"/>
      <c r="S31"/>
      <c r="T31"/>
      <c r="U31"/>
      <c r="V31"/>
      <c r="W31"/>
      <c r="X31"/>
      <c r="Y31"/>
      <c r="Z31" s="2"/>
    </row>
    <row r="32" spans="1:26" s="43" customFormat="1" ht="15.75" customHeight="1">
      <c r="A32" s="247">
        <v>17</v>
      </c>
      <c r="B32" s="312" t="s">
        <v>187</v>
      </c>
      <c r="C32" s="313"/>
      <c r="D32" s="394">
        <f>D27+D30+D29</f>
        <v>4.166666666666667</v>
      </c>
      <c r="E32" s="394">
        <f>E27+E30+E29</f>
        <v>4.583333333333334</v>
      </c>
      <c r="F32" s="154"/>
      <c r="H32" s="199" t="s">
        <v>78</v>
      </c>
      <c r="I32" s="200"/>
      <c r="J32" s="354">
        <f>SUM(J25:J31)</f>
        <v>0.4091674885844749</v>
      </c>
      <c r="K32" s="6"/>
      <c r="L32" s="611" t="s">
        <v>148</v>
      </c>
      <c r="M32" s="582"/>
      <c r="N32" s="582"/>
      <c r="O32" s="583"/>
      <c r="P32" s="396">
        <f>(P24+P25+P26+P27+P28+P29+P30+P31)*Q32</f>
        <v>0</v>
      </c>
      <c r="Q32" s="164">
        <v>0</v>
      </c>
      <c r="R32" s="13"/>
      <c r="S32" s="55" t="s">
        <v>110</v>
      </c>
      <c r="T32" s="523" t="s">
        <v>39</v>
      </c>
      <c r="U32" s="523"/>
      <c r="V32" s="83" t="s">
        <v>50</v>
      </c>
      <c r="W32"/>
      <c r="X32"/>
      <c r="Y32"/>
      <c r="Z32" s="2"/>
    </row>
    <row r="33" spans="1:26" ht="16.5" thickBot="1">
      <c r="A33" s="299">
        <v>18</v>
      </c>
      <c r="B33" s="311"/>
      <c r="C33" s="113"/>
      <c r="D33" s="392"/>
      <c r="E33" s="392"/>
      <c r="F33" s="246"/>
      <c r="H33" s="201" t="s">
        <v>184</v>
      </c>
      <c r="I33" s="74"/>
      <c r="J33" s="79">
        <f>J32</f>
        <v>0.4091674885844749</v>
      </c>
      <c r="K33" s="248"/>
      <c r="L33" s="524" t="s">
        <v>90</v>
      </c>
      <c r="M33" s="525"/>
      <c r="N33" s="525"/>
      <c r="O33" s="526"/>
      <c r="P33" s="398">
        <f>P24+P25+P26+P27+P28+P29+P30+P31+P32</f>
        <v>0.6984426837302167</v>
      </c>
      <c r="Q33" s="234"/>
      <c r="S33" s="27" t="s">
        <v>12</v>
      </c>
      <c r="T33" s="58">
        <v>200</v>
      </c>
      <c r="U33" s="17"/>
      <c r="V33" s="366">
        <f>T29/T33</f>
        <v>0.3056925</v>
      </c>
      <c r="Z33" s="2"/>
    </row>
    <row r="34" spans="1:26" ht="16.5" thickBot="1">
      <c r="A34" s="247">
        <v>19</v>
      </c>
      <c r="B34" s="311" t="s">
        <v>82</v>
      </c>
      <c r="C34" s="93"/>
      <c r="D34" s="392">
        <f>D36-D35</f>
        <v>4.166666666666667</v>
      </c>
      <c r="E34" s="392">
        <f>E36-E35</f>
        <v>4.583333333333334</v>
      </c>
      <c r="F34" s="13"/>
      <c r="G34" s="13"/>
      <c r="H34" s="62"/>
      <c r="I34" s="90"/>
      <c r="J34" s="90"/>
      <c r="K34" s="63"/>
      <c r="L34" s="89"/>
      <c r="M34" s="89"/>
      <c r="N34" s="89"/>
      <c r="O34" s="174"/>
      <c r="P34" s="174"/>
      <c r="Q34" s="83"/>
      <c r="S34" s="27"/>
      <c r="T34" s="58"/>
      <c r="U34" s="17"/>
      <c r="V34" s="59"/>
      <c r="Z34" s="2"/>
    </row>
    <row r="35" spans="1:26" ht="15.75">
      <c r="A35" s="299">
        <v>20</v>
      </c>
      <c r="B35" s="311" t="s">
        <v>81</v>
      </c>
      <c r="C35" s="113">
        <v>0.2</v>
      </c>
      <c r="D35" s="392">
        <f>D36-(D36/1.2)</f>
        <v>0.833333333333333</v>
      </c>
      <c r="E35" s="392">
        <f>E36-(E36/1.2)</f>
        <v>0.9166666666666661</v>
      </c>
      <c r="F35" s="172"/>
      <c r="G35" s="13"/>
      <c r="H35" s="588" t="s">
        <v>0</v>
      </c>
      <c r="I35" s="589"/>
      <c r="J35" s="589"/>
      <c r="K35" s="589"/>
      <c r="L35" s="120"/>
      <c r="M35" s="121"/>
      <c r="N35" s="121"/>
      <c r="O35" s="121"/>
      <c r="P35" s="121"/>
      <c r="Q35" s="122"/>
      <c r="S35" s="27"/>
      <c r="T35" s="108"/>
      <c r="U35" s="68"/>
      <c r="V35" s="59"/>
      <c r="Z35" s="2"/>
    </row>
    <row r="36" spans="1:26" ht="16.5" thickBot="1">
      <c r="A36" s="247">
        <v>21</v>
      </c>
      <c r="B36" s="311" t="s">
        <v>84</v>
      </c>
      <c r="C36" s="93"/>
      <c r="D36" s="392">
        <v>5</v>
      </c>
      <c r="E36" s="392">
        <v>5.5</v>
      </c>
      <c r="F36" s="13"/>
      <c r="G36" s="13"/>
      <c r="H36" s="590" t="s">
        <v>205</v>
      </c>
      <c r="I36" s="591"/>
      <c r="J36" s="591"/>
      <c r="K36" s="591"/>
      <c r="L36" s="591"/>
      <c r="M36" s="115"/>
      <c r="N36" s="115"/>
      <c r="O36" s="115"/>
      <c r="P36" s="115"/>
      <c r="Q36" s="123"/>
      <c r="S36" s="27"/>
      <c r="T36" s="108"/>
      <c r="U36" s="68"/>
      <c r="V36" s="59"/>
      <c r="Z36" s="2"/>
    </row>
    <row r="37" spans="1:26" ht="15.75">
      <c r="A37" s="299">
        <v>22</v>
      </c>
      <c r="B37" s="311"/>
      <c r="C37" s="113"/>
      <c r="D37" s="10"/>
      <c r="E37" s="10"/>
      <c r="F37" s="13"/>
      <c r="G37" s="13"/>
      <c r="H37" s="507" t="s">
        <v>3</v>
      </c>
      <c r="I37" s="573" t="s">
        <v>4</v>
      </c>
      <c r="J37" s="573"/>
      <c r="K37" s="175" t="s">
        <v>5</v>
      </c>
      <c r="L37" s="175" t="s">
        <v>6</v>
      </c>
      <c r="M37" s="175" t="s">
        <v>7</v>
      </c>
      <c r="N37" s="175" t="s">
        <v>8</v>
      </c>
      <c r="O37" s="175" t="s">
        <v>9</v>
      </c>
      <c r="P37" s="503" t="s">
        <v>10</v>
      </c>
      <c r="Q37" s="504"/>
      <c r="S37" s="27"/>
      <c r="T37" s="108"/>
      <c r="U37" s="68"/>
      <c r="V37" s="59"/>
      <c r="Z37" s="2"/>
    </row>
    <row r="38" spans="1:26" ht="32.25" customHeight="1">
      <c r="A38" s="319">
        <v>23</v>
      </c>
      <c r="B38" s="320" t="s">
        <v>201</v>
      </c>
      <c r="C38" s="320"/>
      <c r="D38" s="395">
        <v>5</v>
      </c>
      <c r="E38" s="395">
        <v>5.5</v>
      </c>
      <c r="F38" s="99"/>
      <c r="G38" s="13"/>
      <c r="H38" s="508"/>
      <c r="I38" s="509" t="s">
        <v>12</v>
      </c>
      <c r="J38" s="509"/>
      <c r="K38" s="399">
        <f>M8</f>
        <v>70</v>
      </c>
      <c r="L38" s="202">
        <v>2.17</v>
      </c>
      <c r="M38" s="203">
        <f>M9</f>
        <v>168</v>
      </c>
      <c r="N38" s="203">
        <v>7</v>
      </c>
      <c r="O38" s="204">
        <v>100</v>
      </c>
      <c r="P38" s="505">
        <f>K38*L38/M38*N38/O38</f>
        <v>0.06329166666666666</v>
      </c>
      <c r="Q38" s="506"/>
      <c r="S38" s="27"/>
      <c r="T38" s="108"/>
      <c r="U38" s="68"/>
      <c r="V38" s="59"/>
      <c r="Z38" s="2"/>
    </row>
    <row r="39" spans="2:26" ht="15.75">
      <c r="B39" s="281" t="s">
        <v>131</v>
      </c>
      <c r="C39" s="279"/>
      <c r="D39" s="282">
        <f>D33/D32*100</f>
        <v>0</v>
      </c>
      <c r="E39" s="282">
        <f>E33/E32*100</f>
        <v>0</v>
      </c>
      <c r="F39" s="102"/>
      <c r="G39" s="13"/>
      <c r="H39" s="599" t="s">
        <v>34</v>
      </c>
      <c r="I39" s="577" t="s">
        <v>4</v>
      </c>
      <c r="J39" s="577"/>
      <c r="K39" s="205" t="s">
        <v>5</v>
      </c>
      <c r="L39" s="205" t="s">
        <v>6</v>
      </c>
      <c r="M39" s="205" t="s">
        <v>8</v>
      </c>
      <c r="N39" s="569" t="s">
        <v>35</v>
      </c>
      <c r="O39" s="569"/>
      <c r="P39" s="569" t="s">
        <v>10</v>
      </c>
      <c r="Q39" s="570"/>
      <c r="S39" s="114"/>
      <c r="T39" s="115"/>
      <c r="U39" s="115"/>
      <c r="V39" s="115"/>
      <c r="W39" s="115"/>
      <c r="Z39" s="2"/>
    </row>
    <row r="40" spans="4:26" ht="16.5" thickBot="1">
      <c r="D40" s="100"/>
      <c r="E40" s="100"/>
      <c r="F40" s="106"/>
      <c r="H40" s="600"/>
      <c r="I40" s="502" t="s">
        <v>12</v>
      </c>
      <c r="J40" s="502"/>
      <c r="K40" s="400">
        <f>K38</f>
        <v>70</v>
      </c>
      <c r="L40" s="134">
        <v>0.0014</v>
      </c>
      <c r="M40" s="215">
        <v>8</v>
      </c>
      <c r="N40" s="574">
        <f>O38</f>
        <v>100</v>
      </c>
      <c r="O40" s="574"/>
      <c r="P40" s="575">
        <f>K40*L40*M40/N40</f>
        <v>0.00784</v>
      </c>
      <c r="Q40" s="576"/>
      <c r="S40" s="249"/>
      <c r="T40" s="250"/>
      <c r="U40" s="115"/>
      <c r="V40" s="115"/>
      <c r="W40" s="115"/>
      <c r="Z40" s="2"/>
    </row>
    <row r="41" spans="6:26" ht="15.75">
      <c r="F41" s="109"/>
      <c r="H41" s="206"/>
      <c r="I41" s="629"/>
      <c r="J41" s="629"/>
      <c r="K41" s="207"/>
      <c r="L41" s="208"/>
      <c r="M41" s="209"/>
      <c r="N41" s="209"/>
      <c r="O41" s="210"/>
      <c r="P41" s="568"/>
      <c r="Q41" s="568"/>
      <c r="S41" s="249"/>
      <c r="T41" s="260"/>
      <c r="U41" s="261"/>
      <c r="V41" s="256"/>
      <c r="W41" s="115"/>
      <c r="Z41" s="2"/>
    </row>
    <row r="42" spans="8:26" ht="16.5" thickBot="1">
      <c r="H42" s="206"/>
      <c r="I42" s="629"/>
      <c r="J42" s="629"/>
      <c r="K42" s="207"/>
      <c r="L42" s="208"/>
      <c r="M42" s="209"/>
      <c r="N42" s="209"/>
      <c r="O42" s="210"/>
      <c r="P42" s="568"/>
      <c r="Q42" s="568"/>
      <c r="S42" s="249"/>
      <c r="T42" s="262"/>
      <c r="U42" s="262"/>
      <c r="V42" s="256"/>
      <c r="W42" s="115"/>
      <c r="Z42" s="2"/>
    </row>
    <row r="43" spans="2:26" ht="18.75">
      <c r="B43" s="118" t="s">
        <v>255</v>
      </c>
      <c r="D43" s="500" t="s">
        <v>244</v>
      </c>
      <c r="E43" s="500"/>
      <c r="F43" s="111"/>
      <c r="H43" s="627" t="s">
        <v>71</v>
      </c>
      <c r="I43" s="628"/>
      <c r="J43" s="628"/>
      <c r="K43" s="628"/>
      <c r="L43" s="181"/>
      <c r="M43" s="182"/>
      <c r="N43" s="182"/>
      <c r="O43" s="182"/>
      <c r="P43" s="183"/>
      <c r="Q43" s="17"/>
      <c r="S43" s="249"/>
      <c r="T43" s="263"/>
      <c r="U43" s="263"/>
      <c r="V43" s="256"/>
      <c r="W43" s="115"/>
      <c r="Z43" s="2"/>
    </row>
    <row r="44" spans="6:23" ht="15.75">
      <c r="F44" s="111"/>
      <c r="H44" s="562" t="s">
        <v>135</v>
      </c>
      <c r="I44" s="552"/>
      <c r="J44" s="552"/>
      <c r="K44" s="552"/>
      <c r="L44" s="552"/>
      <c r="M44" s="220" t="s">
        <v>145</v>
      </c>
      <c r="N44" s="221"/>
      <c r="O44" s="221"/>
      <c r="P44" s="222"/>
      <c r="Q44" s="223"/>
      <c r="S44" s="251"/>
      <c r="T44" s="262"/>
      <c r="U44" s="262"/>
      <c r="V44" s="256"/>
      <c r="W44" s="115"/>
    </row>
    <row r="45" spans="6:23" ht="15.75" customHeight="1">
      <c r="F45" s="111"/>
      <c r="H45" s="612" t="s">
        <v>3</v>
      </c>
      <c r="I45" s="613"/>
      <c r="J45" s="614"/>
      <c r="K45" s="142" t="s">
        <v>5</v>
      </c>
      <c r="L45" s="142" t="s">
        <v>6</v>
      </c>
      <c r="M45" s="142" t="s">
        <v>7</v>
      </c>
      <c r="N45" s="142" t="s">
        <v>8</v>
      </c>
      <c r="O45" s="170" t="s">
        <v>10</v>
      </c>
      <c r="P45" s="216"/>
      <c r="Q45" s="224"/>
      <c r="S45" s="249"/>
      <c r="T45" s="264"/>
      <c r="U45" s="265"/>
      <c r="V45" s="252"/>
      <c r="W45" s="115"/>
    </row>
    <row r="46" spans="8:23" ht="15.75">
      <c r="H46" s="615"/>
      <c r="I46" s="616"/>
      <c r="J46" s="617"/>
      <c r="K46" s="401">
        <f>M8</f>
        <v>70</v>
      </c>
      <c r="L46" s="144">
        <v>2.17</v>
      </c>
      <c r="M46" s="143">
        <f>L15</f>
        <v>168</v>
      </c>
      <c r="N46" s="145">
        <v>8</v>
      </c>
      <c r="O46" s="361">
        <f>K46*L46/M46*N46</f>
        <v>7.233333333333333</v>
      </c>
      <c r="P46" s="217"/>
      <c r="Q46" s="225"/>
      <c r="S46" s="258"/>
      <c r="T46" s="258"/>
      <c r="U46" s="258"/>
      <c r="V46" s="253"/>
      <c r="W46" s="115"/>
    </row>
    <row r="47" spans="8:23" ht="15.75" customHeight="1">
      <c r="H47" s="618" t="s">
        <v>34</v>
      </c>
      <c r="I47" s="619"/>
      <c r="J47" s="620"/>
      <c r="K47" s="146" t="s">
        <v>5</v>
      </c>
      <c r="L47" s="146" t="s">
        <v>6</v>
      </c>
      <c r="M47" s="146" t="s">
        <v>8</v>
      </c>
      <c r="N47" s="170" t="s">
        <v>10</v>
      </c>
      <c r="O47" s="171"/>
      <c r="P47" s="216"/>
      <c r="Q47" s="224"/>
      <c r="S47" s="259"/>
      <c r="T47" s="259"/>
      <c r="U47" s="259"/>
      <c r="V47" s="253"/>
      <c r="W47" s="115"/>
    </row>
    <row r="48" spans="1:23" ht="15.75" customHeight="1" thickBot="1">
      <c r="A48" s="317" t="s">
        <v>257</v>
      </c>
      <c r="H48" s="621"/>
      <c r="I48" s="622"/>
      <c r="J48" s="623"/>
      <c r="K48" s="402">
        <f>K46</f>
        <v>70</v>
      </c>
      <c r="L48" s="185">
        <v>0.0014</v>
      </c>
      <c r="M48" s="184">
        <v>8</v>
      </c>
      <c r="N48" s="403">
        <f>K48*L48*M48</f>
        <v>0.784</v>
      </c>
      <c r="O48" s="218"/>
      <c r="P48" s="219"/>
      <c r="Q48" s="133"/>
      <c r="S48" s="257"/>
      <c r="T48" s="257"/>
      <c r="U48" s="257"/>
      <c r="V48" s="254"/>
      <c r="W48" s="255"/>
    </row>
    <row r="49" ht="12.75"/>
    <row r="50" spans="8:17" ht="16.5" thickBot="1">
      <c r="H50" s="499" t="s">
        <v>51</v>
      </c>
      <c r="I50" s="499"/>
      <c r="J50" s="499"/>
      <c r="K50" s="226"/>
      <c r="L50" s="226"/>
      <c r="M50" s="212"/>
      <c r="O50" s="213"/>
      <c r="P50" s="214"/>
      <c r="Q50" s="214"/>
    </row>
    <row r="51" spans="2:15" ht="18.75">
      <c r="B51" s="118"/>
      <c r="C51" s="119"/>
      <c r="D51" s="522"/>
      <c r="E51" s="522"/>
      <c r="H51" s="176" t="s">
        <v>60</v>
      </c>
      <c r="I51" s="177"/>
      <c r="J51" s="624">
        <f>O46</f>
        <v>7.233333333333333</v>
      </c>
      <c r="K51" s="625"/>
      <c r="L51" s="626"/>
      <c r="M51" s="196"/>
      <c r="N51" s="498" t="s">
        <v>236</v>
      </c>
      <c r="O51" s="498"/>
    </row>
    <row r="52" spans="2:15" ht="18.75">
      <c r="B52" s="118"/>
      <c r="C52" s="119"/>
      <c r="D52" s="522"/>
      <c r="E52" s="522"/>
      <c r="H52" s="178" t="s">
        <v>132</v>
      </c>
      <c r="I52" s="110">
        <v>0.5</v>
      </c>
      <c r="J52" s="527">
        <f>J51*I52</f>
        <v>3.6166666666666667</v>
      </c>
      <c r="K52" s="528"/>
      <c r="L52" s="529"/>
      <c r="M52" s="9"/>
      <c r="N52" s="498"/>
      <c r="O52" s="498"/>
    </row>
    <row r="53" spans="3:15" ht="18.75">
      <c r="C53" s="119"/>
      <c r="D53" s="522"/>
      <c r="E53" s="522"/>
      <c r="H53" s="178" t="s">
        <v>34</v>
      </c>
      <c r="I53" s="105"/>
      <c r="J53" s="527"/>
      <c r="K53" s="528"/>
      <c r="L53" s="529"/>
      <c r="M53" s="9"/>
      <c r="N53" s="9"/>
      <c r="O53" s="9"/>
    </row>
    <row r="54" spans="8:15" ht="15.75">
      <c r="H54" s="178" t="s">
        <v>65</v>
      </c>
      <c r="I54" s="112">
        <v>0.7</v>
      </c>
      <c r="J54" s="527">
        <f>(J51+J52)*I54</f>
        <v>7.594999999999999</v>
      </c>
      <c r="K54" s="528"/>
      <c r="L54" s="529"/>
      <c r="M54" s="9"/>
      <c r="N54" s="9"/>
      <c r="O54" s="9"/>
    </row>
    <row r="55" spans="8:15" ht="15.75">
      <c r="H55" s="178" t="s">
        <v>68</v>
      </c>
      <c r="I55" s="325">
        <v>0.1</v>
      </c>
      <c r="J55" s="556">
        <f>(J51+J52)*I55</f>
        <v>1.085</v>
      </c>
      <c r="K55" s="557"/>
      <c r="L55" s="558"/>
      <c r="M55" s="9"/>
      <c r="N55" s="9"/>
      <c r="O55" s="9"/>
    </row>
    <row r="56" spans="8:15" ht="15.75">
      <c r="H56" s="178" t="s">
        <v>142</v>
      </c>
      <c r="I56" s="112">
        <v>0.25</v>
      </c>
      <c r="J56" s="559">
        <f>(J51+J52)*I56</f>
        <v>2.7125</v>
      </c>
      <c r="K56" s="560"/>
      <c r="L56" s="561"/>
      <c r="M56" s="9"/>
      <c r="N56" s="9"/>
      <c r="O56" s="9"/>
    </row>
    <row r="57" spans="8:15" ht="15.75">
      <c r="H57" s="178" t="s">
        <v>74</v>
      </c>
      <c r="I57" s="112">
        <v>0.1</v>
      </c>
      <c r="J57" s="527">
        <f>(J51+J52+J53+J54+J55+J56)*((28*3+28)/(365*3))</f>
        <v>2.2750319634703198</v>
      </c>
      <c r="K57" s="528"/>
      <c r="L57" s="529"/>
      <c r="M57" s="9"/>
      <c r="N57" s="9"/>
      <c r="O57" s="9"/>
    </row>
    <row r="58" spans="8:15" ht="16.5" thickBot="1">
      <c r="H58" s="179" t="s">
        <v>78</v>
      </c>
      <c r="I58" s="180"/>
      <c r="J58" s="608">
        <f>J51+J52+J53+J54+J55+J56+J57</f>
        <v>24.51753196347032</v>
      </c>
      <c r="K58" s="609"/>
      <c r="L58" s="610"/>
      <c r="M58" s="6"/>
      <c r="N58" s="6"/>
      <c r="O58" s="6"/>
    </row>
    <row r="59" spans="13:15" ht="12.75">
      <c r="M59" s="13"/>
      <c r="N59" s="13"/>
      <c r="O59" s="13"/>
    </row>
    <row r="60" spans="14:16" ht="15.75">
      <c r="N60" s="237"/>
      <c r="O60" s="237"/>
      <c r="P60" s="13"/>
    </row>
    <row r="61" spans="14:17" ht="12.75">
      <c r="N61" s="211"/>
      <c r="O61" s="233"/>
      <c r="P61" s="211"/>
      <c r="Q61" s="135"/>
    </row>
    <row r="62" spans="14:17" ht="15.75" customHeight="1">
      <c r="N62" s="234"/>
      <c r="O62" s="234"/>
      <c r="P62" s="234"/>
      <c r="Q62" s="163"/>
    </row>
    <row r="63" spans="14:17" ht="15.75" customHeight="1">
      <c r="N63" s="234"/>
      <c r="O63" s="234"/>
      <c r="P63" s="234"/>
      <c r="Q63" s="164"/>
    </row>
    <row r="64" spans="14:17" ht="15.75" customHeight="1">
      <c r="N64" s="234"/>
      <c r="O64" s="234"/>
      <c r="P64" s="234"/>
      <c r="Q64" s="164"/>
    </row>
    <row r="65" spans="14:17" ht="15.75" customHeight="1">
      <c r="N65" s="235"/>
      <c r="O65" s="234"/>
      <c r="P65" s="234"/>
      <c r="Q65" s="165"/>
    </row>
    <row r="66" spans="14:17" ht="15.75" customHeight="1">
      <c r="N66" s="235"/>
      <c r="O66" s="235"/>
      <c r="P66" s="235"/>
      <c r="Q66" s="166"/>
    </row>
    <row r="67" spans="14:17" ht="15.75" customHeight="1">
      <c r="N67" s="236"/>
      <c r="O67" s="236"/>
      <c r="P67" s="236"/>
      <c r="Q67" s="167"/>
    </row>
    <row r="68" spans="14:17" ht="15.75" customHeight="1">
      <c r="N68" s="234"/>
      <c r="O68" s="234"/>
      <c r="P68" s="234"/>
      <c r="Q68" s="168"/>
    </row>
    <row r="69" spans="14:17" ht="15.75" customHeight="1">
      <c r="N69" s="234"/>
      <c r="O69" s="234"/>
      <c r="P69" s="234"/>
      <c r="Q69" s="168"/>
    </row>
    <row r="70" spans="14:17" ht="16.5" customHeight="1">
      <c r="N70" s="234"/>
      <c r="O70" s="234"/>
      <c r="P70" s="234"/>
      <c r="Q70" s="164"/>
    </row>
    <row r="71" spans="14:17" ht="32.25" customHeight="1">
      <c r="N71" s="234"/>
      <c r="O71" s="234"/>
      <c r="P71" s="234"/>
      <c r="Q71" s="163"/>
    </row>
    <row r="72" spans="8:17" ht="16.5" customHeight="1">
      <c r="H72" s="227"/>
      <c r="I72" s="227"/>
      <c r="J72" s="227"/>
      <c r="K72" s="227"/>
      <c r="L72" s="227"/>
      <c r="M72" s="227"/>
      <c r="N72" s="227"/>
      <c r="O72" s="227"/>
      <c r="P72" s="227"/>
      <c r="Q72" s="227"/>
    </row>
    <row r="73" spans="8:17" ht="12.75" customHeight="1">
      <c r="H73" s="227"/>
      <c r="I73" s="227"/>
      <c r="J73" s="227"/>
      <c r="K73" s="227"/>
      <c r="L73" s="227"/>
      <c r="M73" s="227"/>
      <c r="N73" s="227"/>
      <c r="O73" s="227"/>
      <c r="P73" s="227"/>
      <c r="Q73" s="227"/>
    </row>
    <row r="74" spans="8:17" ht="15.75" customHeight="1">
      <c r="H74" s="227"/>
      <c r="I74" s="227"/>
      <c r="J74" s="227"/>
      <c r="K74" s="227"/>
      <c r="L74" s="227"/>
      <c r="M74" s="227"/>
      <c r="N74" s="227"/>
      <c r="O74" s="227"/>
      <c r="P74" s="227"/>
      <c r="Q74" s="227"/>
    </row>
    <row r="75" spans="8:18" ht="14.25" customHeight="1"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129"/>
    </row>
    <row r="76" spans="8:18" ht="14.25" customHeight="1"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131"/>
    </row>
    <row r="77" spans="8:18" ht="15.75" customHeight="1"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132"/>
    </row>
    <row r="78" spans="8:18" ht="14.25" customHeight="1"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133"/>
    </row>
    <row r="79" spans="8:17" ht="12.75" customHeight="1">
      <c r="H79" s="227"/>
      <c r="I79" s="227"/>
      <c r="J79" s="227"/>
      <c r="K79" s="227"/>
      <c r="L79" s="227"/>
      <c r="M79" s="227"/>
      <c r="N79" s="227"/>
      <c r="O79" s="227"/>
      <c r="P79" s="227"/>
      <c r="Q79" s="227"/>
    </row>
    <row r="80" spans="8:18" ht="12.75" customHeight="1"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98"/>
    </row>
    <row r="81" spans="8:17" ht="15" customHeight="1">
      <c r="H81" s="227"/>
      <c r="I81" s="227"/>
      <c r="J81" s="227"/>
      <c r="K81" s="227"/>
      <c r="L81" s="227"/>
      <c r="M81" s="227"/>
      <c r="N81" s="227"/>
      <c r="O81" s="227"/>
      <c r="P81" s="227"/>
      <c r="Q81" s="227"/>
    </row>
    <row r="82" spans="8:17" ht="16.5" customHeight="1">
      <c r="H82" s="227"/>
      <c r="I82" s="227"/>
      <c r="J82" s="227"/>
      <c r="K82" s="227"/>
      <c r="L82" s="227"/>
      <c r="M82" s="227"/>
      <c r="N82" s="227"/>
      <c r="O82" s="227"/>
      <c r="P82" s="227"/>
      <c r="Q82" s="227"/>
    </row>
    <row r="83" spans="8:17" ht="15" customHeight="1">
      <c r="H83" s="227"/>
      <c r="I83" s="227"/>
      <c r="J83" s="227"/>
      <c r="K83" s="227"/>
      <c r="L83" s="227"/>
      <c r="M83" s="227"/>
      <c r="N83" s="227"/>
      <c r="O83" s="227"/>
      <c r="P83" s="227"/>
      <c r="Q83" s="227"/>
    </row>
    <row r="84" spans="8:17" ht="15.75" customHeight="1">
      <c r="H84" s="227"/>
      <c r="I84" s="227"/>
      <c r="J84" s="227"/>
      <c r="K84" s="227"/>
      <c r="L84" s="227"/>
      <c r="M84" s="227"/>
      <c r="N84" s="227"/>
      <c r="O84" s="227"/>
      <c r="P84" s="227"/>
      <c r="Q84" s="227"/>
    </row>
    <row r="85" spans="8:17" ht="14.25" customHeight="1">
      <c r="H85" s="227"/>
      <c r="I85" s="227"/>
      <c r="J85" s="227"/>
      <c r="K85" s="227"/>
      <c r="L85" s="227"/>
      <c r="M85" s="227"/>
      <c r="N85" s="227"/>
      <c r="O85" s="227"/>
      <c r="P85" s="227"/>
      <c r="Q85" s="227"/>
    </row>
    <row r="86" spans="8:17" ht="15.75" customHeight="1">
      <c r="H86" s="227"/>
      <c r="I86" s="227"/>
      <c r="J86" s="227"/>
      <c r="K86" s="227"/>
      <c r="L86" s="227"/>
      <c r="M86" s="227"/>
      <c r="N86" s="227"/>
      <c r="O86" s="227"/>
      <c r="P86" s="227"/>
      <c r="Q86" s="227"/>
    </row>
    <row r="88" spans="8:15" ht="15.75">
      <c r="H88" s="13"/>
      <c r="I88" s="13"/>
      <c r="J88" s="13"/>
      <c r="K88" s="544"/>
      <c r="L88" s="544"/>
      <c r="M88" s="544"/>
      <c r="N88" s="13"/>
      <c r="O88" s="13"/>
    </row>
    <row r="89" spans="7:15" ht="16.5" customHeight="1">
      <c r="G89" s="13"/>
      <c r="H89" s="13"/>
      <c r="I89" s="13"/>
      <c r="J89" s="228"/>
      <c r="K89" s="228"/>
      <c r="L89" s="228"/>
      <c r="M89" s="229"/>
      <c r="N89" s="228"/>
      <c r="O89" s="228"/>
    </row>
    <row r="90" spans="7:15" ht="12.75">
      <c r="G90" s="132"/>
      <c r="H90" s="13"/>
      <c r="I90" s="132"/>
      <c r="J90" s="9"/>
      <c r="K90" s="9"/>
      <c r="L90" s="9"/>
      <c r="M90" s="9"/>
      <c r="N90" s="9"/>
      <c r="O90" s="9"/>
    </row>
    <row r="91" spans="7:15" ht="12.75">
      <c r="G91" s="13"/>
      <c r="H91" s="13"/>
      <c r="I91" s="197"/>
      <c r="J91" s="9"/>
      <c r="K91" s="9"/>
      <c r="L91" s="9"/>
      <c r="M91" s="9"/>
      <c r="N91" s="9"/>
      <c r="O91" s="9"/>
    </row>
    <row r="92" spans="8:15" ht="12.75">
      <c r="H92" s="13"/>
      <c r="I92" s="132"/>
      <c r="J92" s="9"/>
      <c r="K92" s="9"/>
      <c r="L92" s="9"/>
      <c r="M92" s="9"/>
      <c r="N92" s="9"/>
      <c r="O92" s="9"/>
    </row>
    <row r="93" spans="8:15" ht="12.75">
      <c r="H93" s="13"/>
      <c r="I93" s="198"/>
      <c r="J93" s="9"/>
      <c r="K93" s="9"/>
      <c r="L93" s="9"/>
      <c r="M93" s="9"/>
      <c r="N93" s="9"/>
      <c r="O93" s="9"/>
    </row>
    <row r="94" spans="8:15" ht="12.75">
      <c r="H94" s="13"/>
      <c r="I94" s="198"/>
      <c r="J94" s="9"/>
      <c r="K94" s="9"/>
      <c r="L94" s="9"/>
      <c r="M94" s="9"/>
      <c r="N94" s="9"/>
      <c r="O94" s="9"/>
    </row>
    <row r="95" spans="8:15" ht="12.75">
      <c r="H95" s="13"/>
      <c r="I95" s="198"/>
      <c r="J95" s="9"/>
      <c r="K95" s="9"/>
      <c r="L95" s="9"/>
      <c r="M95" s="9"/>
      <c r="N95" s="9"/>
      <c r="O95" s="9"/>
    </row>
    <row r="96" spans="8:15" ht="12.75">
      <c r="H96" s="13"/>
      <c r="I96" s="198"/>
      <c r="J96" s="9"/>
      <c r="K96" s="9"/>
      <c r="L96" s="9"/>
      <c r="M96" s="9"/>
      <c r="N96" s="9"/>
      <c r="O96" s="9"/>
    </row>
    <row r="97" spans="8:15" ht="12.75">
      <c r="H97" s="13"/>
      <c r="I97" s="132"/>
      <c r="J97" s="6"/>
      <c r="K97" s="6"/>
      <c r="L97" s="6"/>
      <c r="M97" s="6"/>
      <c r="N97" s="6"/>
      <c r="O97" s="6"/>
    </row>
    <row r="99" spans="8:17" ht="15.75">
      <c r="H99" s="13"/>
      <c r="I99" s="13"/>
      <c r="J99" s="230"/>
      <c r="K99" s="230"/>
      <c r="L99" s="230"/>
      <c r="M99" s="230"/>
      <c r="N99" s="230"/>
      <c r="O99" s="230"/>
      <c r="Q99" s="36"/>
    </row>
    <row r="100" spans="8:17" ht="15.75">
      <c r="H100" s="554"/>
      <c r="I100" s="554"/>
      <c r="J100" s="159"/>
      <c r="K100" s="159"/>
      <c r="L100" s="159"/>
      <c r="M100" s="159"/>
      <c r="N100" s="159"/>
      <c r="O100" s="159"/>
      <c r="Q100" s="36"/>
    </row>
    <row r="101" spans="8:17" ht="15.75">
      <c r="H101" s="554"/>
      <c r="I101" s="554"/>
      <c r="J101" s="159"/>
      <c r="K101" s="159"/>
      <c r="L101" s="159"/>
      <c r="M101" s="159"/>
      <c r="N101" s="159"/>
      <c r="O101" s="159"/>
      <c r="Q101" s="36"/>
    </row>
    <row r="102" spans="8:15" ht="15" customHeight="1">
      <c r="H102" s="554"/>
      <c r="I102" s="554"/>
      <c r="J102" s="159"/>
      <c r="K102" s="159"/>
      <c r="L102" s="159"/>
      <c r="M102" s="159"/>
      <c r="N102" s="159"/>
      <c r="O102" s="159"/>
    </row>
    <row r="103" spans="8:15" ht="15" customHeight="1">
      <c r="H103" s="554"/>
      <c r="I103" s="554"/>
      <c r="J103" s="159"/>
      <c r="K103" s="159"/>
      <c r="L103" s="159"/>
      <c r="M103" s="159"/>
      <c r="N103" s="159"/>
      <c r="O103" s="159"/>
    </row>
    <row r="104" spans="8:15" ht="15">
      <c r="H104" s="554"/>
      <c r="I104" s="554"/>
      <c r="J104" s="99"/>
      <c r="K104" s="99"/>
      <c r="L104" s="99"/>
      <c r="M104" s="99"/>
      <c r="N104" s="99"/>
      <c r="O104" s="99"/>
    </row>
    <row r="106" spans="8:17" ht="15.75">
      <c r="H106" s="555"/>
      <c r="I106" s="555"/>
      <c r="J106" s="555"/>
      <c r="K106" s="555"/>
      <c r="L106" s="149"/>
      <c r="M106" s="17"/>
      <c r="N106" s="17"/>
      <c r="O106" s="17"/>
      <c r="P106" s="17"/>
      <c r="Q106" s="17"/>
    </row>
    <row r="107" spans="8:17" ht="15.75">
      <c r="H107" s="552"/>
      <c r="I107" s="552"/>
      <c r="J107" s="552"/>
      <c r="K107" s="552"/>
      <c r="L107" s="552"/>
      <c r="M107" s="17"/>
      <c r="N107" s="17"/>
      <c r="O107" s="17"/>
      <c r="P107" s="17"/>
      <c r="Q107" s="17"/>
    </row>
    <row r="108" spans="8:17" ht="15.75">
      <c r="H108" s="552"/>
      <c r="I108" s="552"/>
      <c r="J108" s="552"/>
      <c r="K108" s="552"/>
      <c r="L108" s="552"/>
      <c r="M108" s="17"/>
      <c r="N108" s="17"/>
      <c r="O108" s="17"/>
      <c r="P108" s="17"/>
      <c r="Q108" s="17"/>
    </row>
    <row r="109" spans="8:17" ht="12.75">
      <c r="H109" s="541"/>
      <c r="I109" s="541"/>
      <c r="J109" s="541"/>
      <c r="K109" s="224"/>
      <c r="L109" s="224"/>
      <c r="M109" s="224"/>
      <c r="N109" s="224"/>
      <c r="O109" s="550"/>
      <c r="P109" s="550"/>
      <c r="Q109" s="550"/>
    </row>
    <row r="110" spans="8:17" ht="15.75">
      <c r="H110" s="541"/>
      <c r="I110" s="541"/>
      <c r="J110" s="541"/>
      <c r="K110" s="26"/>
      <c r="L110" s="231"/>
      <c r="M110" s="26"/>
      <c r="N110" s="169"/>
      <c r="O110" s="553"/>
      <c r="P110" s="553"/>
      <c r="Q110" s="553"/>
    </row>
    <row r="111" spans="8:17" ht="12.75">
      <c r="H111" s="536"/>
      <c r="I111" s="536"/>
      <c r="J111" s="536"/>
      <c r="K111" s="224"/>
      <c r="L111" s="224"/>
      <c r="M111" s="224"/>
      <c r="N111" s="550"/>
      <c r="O111" s="550"/>
      <c r="P111" s="550"/>
      <c r="Q111" s="550"/>
    </row>
    <row r="112" spans="8:18" ht="15.75">
      <c r="H112" s="536"/>
      <c r="I112" s="536"/>
      <c r="J112" s="536"/>
      <c r="K112" s="26"/>
      <c r="L112" s="232"/>
      <c r="M112" s="26"/>
      <c r="N112" s="551"/>
      <c r="O112" s="551"/>
      <c r="P112" s="551"/>
      <c r="Q112" s="551"/>
      <c r="R112" s="132"/>
    </row>
    <row r="113" spans="1:18" ht="15.75">
      <c r="A113" s="13"/>
      <c r="B113" s="13"/>
      <c r="C113" s="13"/>
      <c r="D113" s="13"/>
      <c r="E113" s="13"/>
      <c r="F113" s="13"/>
      <c r="R113" s="133"/>
    </row>
    <row r="114" spans="1:18" ht="15.75">
      <c r="A114" s="13"/>
      <c r="B114" s="13"/>
      <c r="C114" s="13"/>
      <c r="D114" s="13"/>
      <c r="E114" s="13"/>
      <c r="F114" s="13"/>
      <c r="G114" s="149"/>
      <c r="H114" s="149"/>
      <c r="I114" s="544"/>
      <c r="J114" s="544"/>
      <c r="K114" s="544"/>
      <c r="L114" s="544"/>
      <c r="M114" s="150"/>
      <c r="N114" s="150"/>
      <c r="O114" s="13"/>
      <c r="P114" s="13"/>
      <c r="R114" s="132"/>
    </row>
    <row r="115" spans="1:18" ht="16.5" customHeight="1">
      <c r="A115" s="151"/>
      <c r="B115" s="152"/>
      <c r="C115" s="153"/>
      <c r="D115" s="154"/>
      <c r="E115" s="154"/>
      <c r="F115" s="154"/>
      <c r="G115" s="13"/>
      <c r="H115" s="13"/>
      <c r="I115" s="132"/>
      <c r="J115" s="548"/>
      <c r="K115" s="549"/>
      <c r="L115" s="549"/>
      <c r="M115" s="132"/>
      <c r="N115" s="132"/>
      <c r="O115" s="13"/>
      <c r="P115" s="13"/>
      <c r="R115" s="133"/>
    </row>
    <row r="116" spans="1:16" ht="15.75" customHeight="1">
      <c r="A116" s="151"/>
      <c r="B116" s="152"/>
      <c r="C116" s="153"/>
      <c r="D116" s="155"/>
      <c r="E116" s="155"/>
      <c r="F116" s="155"/>
      <c r="G116" s="132"/>
      <c r="H116" s="13"/>
      <c r="I116" s="197"/>
      <c r="J116" s="548"/>
      <c r="K116" s="548"/>
      <c r="L116" s="548"/>
      <c r="M116" s="13"/>
      <c r="N116" s="156"/>
      <c r="O116" s="13"/>
      <c r="P116" s="13"/>
    </row>
    <row r="117" spans="1:16" ht="16.5" customHeight="1">
      <c r="A117" s="151"/>
      <c r="B117" s="157"/>
      <c r="C117" s="153"/>
      <c r="D117" s="158"/>
      <c r="E117" s="158"/>
      <c r="F117" s="158"/>
      <c r="G117" s="132"/>
      <c r="H117" s="13"/>
      <c r="I117" s="132"/>
      <c r="J117" s="548"/>
      <c r="K117" s="548"/>
      <c r="L117" s="548"/>
      <c r="M117" s="159"/>
      <c r="N117" s="156"/>
      <c r="O117" s="13"/>
      <c r="P117" s="13"/>
    </row>
    <row r="118" spans="1:16" ht="15.75">
      <c r="A118" s="151"/>
      <c r="B118" s="152"/>
      <c r="C118" s="153"/>
      <c r="D118" s="155"/>
      <c r="E118" s="155"/>
      <c r="F118" s="155"/>
      <c r="G118" s="13"/>
      <c r="H118" s="13"/>
      <c r="I118" s="198"/>
      <c r="J118" s="548"/>
      <c r="K118" s="548"/>
      <c r="L118" s="548"/>
      <c r="M118" s="159"/>
      <c r="N118" s="156"/>
      <c r="O118" s="13"/>
      <c r="P118" s="13"/>
    </row>
    <row r="119" spans="1:17" ht="16.5" customHeight="1">
      <c r="A119" s="13"/>
      <c r="B119" s="13"/>
      <c r="C119" s="13"/>
      <c r="D119" s="13"/>
      <c r="E119" s="13"/>
      <c r="F119" s="13"/>
      <c r="G119" s="5"/>
      <c r="H119" s="13"/>
      <c r="I119" s="198"/>
      <c r="J119" s="546"/>
      <c r="K119" s="546"/>
      <c r="L119" s="546"/>
      <c r="M119" s="160"/>
      <c r="N119" s="129"/>
      <c r="O119" s="129"/>
      <c r="P119" s="129"/>
      <c r="Q119" s="129"/>
    </row>
    <row r="120" spans="1:17" ht="15.75">
      <c r="A120" s="13"/>
      <c r="B120" s="13"/>
      <c r="C120" s="13"/>
      <c r="D120" s="13"/>
      <c r="E120" s="13"/>
      <c r="F120" s="13"/>
      <c r="G120" s="5"/>
      <c r="H120" s="13"/>
      <c r="I120" s="198"/>
      <c r="J120" s="547"/>
      <c r="K120" s="547"/>
      <c r="L120" s="547"/>
      <c r="M120" s="161"/>
      <c r="N120" s="131"/>
      <c r="O120" s="131"/>
      <c r="P120" s="131"/>
      <c r="Q120" s="131"/>
    </row>
    <row r="121" spans="1:17" ht="15.75">
      <c r="A121" s="13"/>
      <c r="B121" s="13"/>
      <c r="C121" s="13"/>
      <c r="D121" s="13"/>
      <c r="E121" s="13"/>
      <c r="F121" s="13"/>
      <c r="G121" s="7"/>
      <c r="H121" s="13"/>
      <c r="I121" s="198"/>
      <c r="J121" s="548"/>
      <c r="K121" s="548"/>
      <c r="L121" s="548"/>
      <c r="M121" s="132"/>
      <c r="N121" s="132"/>
      <c r="O121" s="132"/>
      <c r="P121" s="132"/>
      <c r="Q121" s="132"/>
    </row>
    <row r="122" spans="7:17" ht="15.75">
      <c r="G122" s="7"/>
      <c r="H122" s="13"/>
      <c r="I122" s="132"/>
      <c r="J122" s="548"/>
      <c r="K122" s="549"/>
      <c r="L122" s="549"/>
      <c r="M122" s="36"/>
      <c r="N122" s="36"/>
      <c r="O122" s="133"/>
      <c r="P122" s="133"/>
      <c r="Q122" s="133"/>
    </row>
    <row r="123" spans="7:16" ht="13.5" customHeight="1">
      <c r="G123" s="13"/>
      <c r="H123" s="13"/>
      <c r="I123" s="13"/>
      <c r="J123" s="544"/>
      <c r="K123" s="544"/>
      <c r="L123" s="544"/>
      <c r="M123" s="544"/>
      <c r="N123" s="544"/>
      <c r="O123" s="544"/>
      <c r="P123" s="13"/>
    </row>
    <row r="124" spans="7:17" ht="15.75">
      <c r="G124" s="149"/>
      <c r="H124" s="544"/>
      <c r="I124" s="544"/>
      <c r="J124" s="544"/>
      <c r="K124" s="544"/>
      <c r="L124" s="211"/>
      <c r="M124" s="211"/>
      <c r="N124" s="211"/>
      <c r="O124" s="233"/>
      <c r="P124" s="211"/>
      <c r="Q124" s="228"/>
    </row>
    <row r="125" spans="7:17" ht="16.5" customHeight="1">
      <c r="G125" s="13"/>
      <c r="H125" s="545"/>
      <c r="I125" s="545"/>
      <c r="J125" s="545"/>
      <c r="K125" s="545"/>
      <c r="L125" s="234"/>
      <c r="M125" s="234"/>
      <c r="N125" s="234"/>
      <c r="O125" s="234"/>
      <c r="P125" s="234"/>
      <c r="Q125" s="163"/>
    </row>
    <row r="126" spans="7:17" ht="16.5" customHeight="1">
      <c r="G126" s="132"/>
      <c r="H126" s="545"/>
      <c r="I126" s="545"/>
      <c r="J126" s="545"/>
      <c r="K126" s="545"/>
      <c r="L126" s="234"/>
      <c r="M126" s="234"/>
      <c r="N126" s="234"/>
      <c r="O126" s="234"/>
      <c r="P126" s="234"/>
      <c r="Q126" s="164"/>
    </row>
    <row r="127" spans="7:17" ht="18" customHeight="1">
      <c r="G127" s="132"/>
      <c r="H127" s="545"/>
      <c r="I127" s="545"/>
      <c r="J127" s="545"/>
      <c r="K127" s="545"/>
      <c r="L127" s="234"/>
      <c r="M127" s="235"/>
      <c r="N127" s="234"/>
      <c r="O127" s="234"/>
      <c r="P127" s="234"/>
      <c r="Q127" s="164"/>
    </row>
    <row r="128" spans="7:17" ht="15.75" customHeight="1">
      <c r="G128" s="13"/>
      <c r="H128" s="542"/>
      <c r="I128" s="542"/>
      <c r="J128" s="542"/>
      <c r="K128" s="542"/>
      <c r="L128" s="234"/>
      <c r="M128" s="234"/>
      <c r="N128" s="235"/>
      <c r="O128" s="234"/>
      <c r="P128" s="234"/>
      <c r="Q128" s="165"/>
    </row>
    <row r="129" spans="7:17" ht="15.75">
      <c r="G129" s="5"/>
      <c r="H129" s="543"/>
      <c r="I129" s="543"/>
      <c r="J129" s="543"/>
      <c r="K129" s="543"/>
      <c r="L129" s="236"/>
      <c r="M129" s="236"/>
      <c r="N129" s="235"/>
      <c r="O129" s="235"/>
      <c r="P129" s="235"/>
      <c r="Q129" s="166"/>
    </row>
    <row r="130" spans="7:17" ht="15.75">
      <c r="G130" s="5"/>
      <c r="H130" s="543"/>
      <c r="I130" s="543"/>
      <c r="J130" s="543"/>
      <c r="K130" s="543"/>
      <c r="L130" s="236"/>
      <c r="M130" s="236"/>
      <c r="N130" s="236"/>
      <c r="O130" s="236"/>
      <c r="P130" s="236"/>
      <c r="Q130" s="167"/>
    </row>
    <row r="131" spans="7:17" ht="15.75">
      <c r="G131" s="7"/>
      <c r="H131" s="538"/>
      <c r="I131" s="538"/>
      <c r="J131" s="538"/>
      <c r="K131" s="538"/>
      <c r="L131" s="234"/>
      <c r="M131" s="234"/>
      <c r="N131" s="234"/>
      <c r="O131" s="234"/>
      <c r="P131" s="234"/>
      <c r="Q131" s="168"/>
    </row>
    <row r="132" spans="7:17" ht="15.75">
      <c r="G132" s="7"/>
      <c r="H132" s="538"/>
      <c r="I132" s="538"/>
      <c r="J132" s="538"/>
      <c r="K132" s="538"/>
      <c r="L132" s="234"/>
      <c r="M132" s="234"/>
      <c r="N132" s="234"/>
      <c r="O132" s="234"/>
      <c r="P132" s="234"/>
      <c r="Q132" s="168"/>
    </row>
    <row r="133" spans="8:17" ht="15.75">
      <c r="H133" s="539"/>
      <c r="I133" s="539"/>
      <c r="J133" s="539"/>
      <c r="K133" s="539"/>
      <c r="L133" s="234"/>
      <c r="M133" s="234"/>
      <c r="N133" s="234"/>
      <c r="O133" s="234"/>
      <c r="P133" s="234"/>
      <c r="Q133" s="164"/>
    </row>
    <row r="134" spans="8:17" ht="30" customHeight="1">
      <c r="H134" s="540"/>
      <c r="I134" s="540"/>
      <c r="J134" s="540"/>
      <c r="K134" s="540"/>
      <c r="L134" s="234"/>
      <c r="M134" s="234"/>
      <c r="N134" s="234"/>
      <c r="O134" s="234"/>
      <c r="P134" s="234"/>
      <c r="Q134" s="163"/>
    </row>
    <row r="135" spans="8:16" ht="12.75">
      <c r="H135" s="13"/>
      <c r="I135" s="13"/>
      <c r="J135" s="13"/>
      <c r="K135" s="13"/>
      <c r="L135" s="13"/>
      <c r="M135" s="13"/>
      <c r="N135" s="13"/>
      <c r="O135" s="13"/>
      <c r="P135" s="13"/>
    </row>
    <row r="163" spans="8:15" ht="12.75">
      <c r="H163" s="13"/>
      <c r="I163" s="13"/>
      <c r="J163" s="13"/>
      <c r="K163" s="13"/>
      <c r="L163" s="13"/>
      <c r="M163" s="13"/>
      <c r="N163" s="13"/>
      <c r="O163" s="13"/>
    </row>
    <row r="164" spans="8:15" ht="12.75">
      <c r="H164" s="13"/>
      <c r="I164" s="13"/>
      <c r="J164" s="13"/>
      <c r="K164" s="13"/>
      <c r="L164" s="13"/>
      <c r="M164" s="13"/>
      <c r="N164" s="13"/>
      <c r="O164" s="13"/>
    </row>
    <row r="165" spans="8:15" ht="12.75">
      <c r="H165" s="13"/>
      <c r="I165" s="13"/>
      <c r="J165" s="13"/>
      <c r="K165" s="13"/>
      <c r="L165" s="13"/>
      <c r="M165" s="13"/>
      <c r="N165" s="13"/>
      <c r="O165" s="13"/>
    </row>
    <row r="166" spans="8:15" ht="15.75">
      <c r="H166" s="149"/>
      <c r="I166" s="149"/>
      <c r="J166" s="13"/>
      <c r="K166" s="13"/>
      <c r="L166" s="13"/>
      <c r="M166" s="13"/>
      <c r="N166" s="13"/>
      <c r="O166" s="13"/>
    </row>
    <row r="167" spans="8:15" ht="12.75">
      <c r="H167" s="13"/>
      <c r="I167" s="13"/>
      <c r="J167" s="13"/>
      <c r="K167" s="13"/>
      <c r="L167" s="13"/>
      <c r="M167" s="13"/>
      <c r="N167" s="13"/>
      <c r="O167" s="13"/>
    </row>
    <row r="168" spans="8:15" ht="12.75">
      <c r="H168" s="13"/>
      <c r="I168" s="13"/>
      <c r="J168" s="13"/>
      <c r="K168" s="13"/>
      <c r="L168" s="13"/>
      <c r="M168" s="13"/>
      <c r="N168" s="13"/>
      <c r="O168" s="13"/>
    </row>
    <row r="169" spans="8:15" ht="12.75">
      <c r="H169" s="541"/>
      <c r="I169" s="132"/>
      <c r="J169" s="132"/>
      <c r="K169" s="132"/>
      <c r="L169" s="132"/>
      <c r="M169" s="132"/>
      <c r="N169" s="132"/>
      <c r="O169" s="132"/>
    </row>
    <row r="170" spans="8:15" ht="15.75">
      <c r="H170" s="541"/>
      <c r="I170" s="132"/>
      <c r="J170" s="132"/>
      <c r="K170" s="132"/>
      <c r="L170" s="169"/>
      <c r="M170" s="36"/>
      <c r="N170" s="133"/>
      <c r="O170" s="133"/>
    </row>
    <row r="171" spans="8:15" ht="12.75">
      <c r="H171" s="536"/>
      <c r="I171" s="132"/>
      <c r="J171" s="132"/>
      <c r="K171" s="132"/>
      <c r="L171" s="132"/>
      <c r="M171" s="132"/>
      <c r="N171" s="132"/>
      <c r="O171" s="132"/>
    </row>
    <row r="172" spans="8:15" ht="15.75">
      <c r="H172" s="536"/>
      <c r="I172" s="132"/>
      <c r="J172" s="132"/>
      <c r="K172" s="132"/>
      <c r="L172" s="36"/>
      <c r="M172" s="36"/>
      <c r="N172" s="133"/>
      <c r="O172" s="133"/>
    </row>
    <row r="173" spans="8:15" ht="12.75">
      <c r="H173" s="13"/>
      <c r="I173" s="13"/>
      <c r="J173" s="13"/>
      <c r="K173" s="13"/>
      <c r="L173" s="13"/>
      <c r="M173" s="13"/>
      <c r="N173" s="13"/>
      <c r="O173" s="13"/>
    </row>
    <row r="174" spans="8:15" ht="15.75">
      <c r="H174" s="132"/>
      <c r="I174" s="132"/>
      <c r="J174" s="537"/>
      <c r="K174" s="537"/>
      <c r="L174" s="537"/>
      <c r="M174" s="537"/>
      <c r="N174" s="537"/>
      <c r="O174" s="8"/>
    </row>
    <row r="175" spans="8:15" ht="12.75">
      <c r="H175" s="13"/>
      <c r="I175" s="132"/>
      <c r="J175" s="534"/>
      <c r="K175" s="534"/>
      <c r="L175" s="534"/>
      <c r="M175" s="534"/>
      <c r="N175" s="534"/>
      <c r="O175" s="9"/>
    </row>
    <row r="176" spans="8:15" ht="12.75">
      <c r="H176" s="13"/>
      <c r="I176" s="132"/>
      <c r="J176" s="534"/>
      <c r="K176" s="534"/>
      <c r="L176" s="534"/>
      <c r="M176" s="534"/>
      <c r="N176" s="534"/>
      <c r="O176" s="9"/>
    </row>
    <row r="177" spans="8:15" ht="12.75">
      <c r="H177" s="13"/>
      <c r="I177" s="132"/>
      <c r="J177" s="534"/>
      <c r="K177" s="534"/>
      <c r="L177" s="534"/>
      <c r="M177" s="534"/>
      <c r="N177" s="534"/>
      <c r="O177" s="9"/>
    </row>
    <row r="178" spans="8:15" ht="12.75">
      <c r="H178" s="13"/>
      <c r="I178" s="132"/>
      <c r="J178" s="534"/>
      <c r="K178" s="534"/>
      <c r="L178" s="534"/>
      <c r="M178" s="534"/>
      <c r="N178" s="534"/>
      <c r="O178" s="9"/>
    </row>
    <row r="179" spans="8:15" ht="12.75">
      <c r="H179" s="13"/>
      <c r="I179" s="132"/>
      <c r="J179" s="534"/>
      <c r="K179" s="534"/>
      <c r="L179" s="534"/>
      <c r="M179" s="534"/>
      <c r="N179" s="534"/>
      <c r="O179" s="9"/>
    </row>
    <row r="180" spans="8:15" ht="12.75">
      <c r="H180" s="13"/>
      <c r="I180" s="132"/>
      <c r="J180" s="535"/>
      <c r="K180" s="535"/>
      <c r="L180" s="535"/>
      <c r="M180" s="535"/>
      <c r="N180" s="535"/>
      <c r="O180" s="6"/>
    </row>
    <row r="181" spans="8:15" ht="12.75">
      <c r="H181" s="13"/>
      <c r="I181" s="13"/>
      <c r="J181" s="13"/>
      <c r="K181" s="13"/>
      <c r="L181" s="13"/>
      <c r="M181" s="13"/>
      <c r="N181" s="13"/>
      <c r="O181" s="13"/>
    </row>
    <row r="182" spans="8:15" ht="12.75">
      <c r="H182" s="132"/>
      <c r="I182" s="132"/>
      <c r="J182" s="132"/>
      <c r="K182" s="132"/>
      <c r="L182" s="132"/>
      <c r="M182" s="132"/>
      <c r="N182" s="132"/>
      <c r="O182" s="132"/>
    </row>
    <row r="183" spans="8:15" ht="15.75">
      <c r="H183" s="34"/>
      <c r="I183" s="34"/>
      <c r="J183" s="9"/>
      <c r="K183" s="9"/>
      <c r="L183" s="9"/>
      <c r="M183" s="9"/>
      <c r="N183" s="9"/>
      <c r="O183" s="9"/>
    </row>
    <row r="184" spans="8:15" ht="15.75">
      <c r="H184" s="34"/>
      <c r="I184" s="34"/>
      <c r="J184" s="9"/>
      <c r="K184" s="9"/>
      <c r="L184" s="9"/>
      <c r="M184" s="9"/>
      <c r="N184" s="9"/>
      <c r="O184" s="9"/>
    </row>
    <row r="185" spans="8:15" ht="15.75">
      <c r="H185" s="34"/>
      <c r="I185" s="34"/>
      <c r="J185" s="9"/>
      <c r="K185" s="9"/>
      <c r="L185" s="9"/>
      <c r="M185" s="9"/>
      <c r="N185" s="9"/>
      <c r="O185" s="9"/>
    </row>
    <row r="186" spans="8:15" ht="15.75">
      <c r="H186" s="34"/>
      <c r="I186" s="34"/>
      <c r="J186" s="9"/>
      <c r="K186" s="9"/>
      <c r="L186" s="9"/>
      <c r="M186" s="9"/>
      <c r="N186" s="9"/>
      <c r="O186" s="9"/>
    </row>
    <row r="187" spans="8:15" ht="15.75">
      <c r="H187" s="34"/>
      <c r="I187" s="34"/>
      <c r="J187" s="9"/>
      <c r="K187" s="9"/>
      <c r="L187" s="9"/>
      <c r="M187" s="9"/>
      <c r="N187" s="9"/>
      <c r="O187" s="9"/>
    </row>
  </sheetData>
  <sheetProtection/>
  <mergeCells count="150">
    <mergeCell ref="A9:E9"/>
    <mergeCell ref="J57:L57"/>
    <mergeCell ref="J58:L58"/>
    <mergeCell ref="L32:O32"/>
    <mergeCell ref="H45:J46"/>
    <mergeCell ref="H47:J48"/>
    <mergeCell ref="J51:L51"/>
    <mergeCell ref="H43:K43"/>
    <mergeCell ref="I41:J41"/>
    <mergeCell ref="I42:J42"/>
    <mergeCell ref="H39:H40"/>
    <mergeCell ref="K3:M3"/>
    <mergeCell ref="A1:E1"/>
    <mergeCell ref="S1:Y1"/>
    <mergeCell ref="A2:E2"/>
    <mergeCell ref="S2:U2"/>
    <mergeCell ref="A5:E5"/>
    <mergeCell ref="H5:J5"/>
    <mergeCell ref="A3:E3"/>
    <mergeCell ref="H3:J4"/>
    <mergeCell ref="A4:E4"/>
    <mergeCell ref="V5:V7"/>
    <mergeCell ref="H6:J6"/>
    <mergeCell ref="T6:U6"/>
    <mergeCell ref="T7:U7"/>
    <mergeCell ref="H7:N7"/>
    <mergeCell ref="A7:E7"/>
    <mergeCell ref="K4:M4"/>
    <mergeCell ref="K5:M5"/>
    <mergeCell ref="K6:M6"/>
    <mergeCell ref="H10:L10"/>
    <mergeCell ref="H11:L11"/>
    <mergeCell ref="L24:O24"/>
    <mergeCell ref="H22:J23"/>
    <mergeCell ref="H35:K35"/>
    <mergeCell ref="H36:L36"/>
    <mergeCell ref="L25:O25"/>
    <mergeCell ref="L26:O26"/>
    <mergeCell ref="L27:O27"/>
    <mergeCell ref="L30:O30"/>
    <mergeCell ref="N40:O40"/>
    <mergeCell ref="P40:Q40"/>
    <mergeCell ref="I39:J39"/>
    <mergeCell ref="N39:O39"/>
    <mergeCell ref="L23:O23"/>
    <mergeCell ref="L28:O28"/>
    <mergeCell ref="L29:O29"/>
    <mergeCell ref="L31:O31"/>
    <mergeCell ref="T15:U15"/>
    <mergeCell ref="T11:V11"/>
    <mergeCell ref="T12:V12"/>
    <mergeCell ref="T27:V27"/>
    <mergeCell ref="T28:V28"/>
    <mergeCell ref="I37:J37"/>
    <mergeCell ref="H44:L44"/>
    <mergeCell ref="V22:V24"/>
    <mergeCell ref="T23:U23"/>
    <mergeCell ref="T24:U24"/>
    <mergeCell ref="T26:V26"/>
    <mergeCell ref="T9:V9"/>
    <mergeCell ref="T10:V10"/>
    <mergeCell ref="P41:Q41"/>
    <mergeCell ref="P42:Q42"/>
    <mergeCell ref="P39:Q39"/>
    <mergeCell ref="K88:M88"/>
    <mergeCell ref="H100:I100"/>
    <mergeCell ref="H101:I101"/>
    <mergeCell ref="H102:I102"/>
    <mergeCell ref="J54:L54"/>
    <mergeCell ref="J55:L55"/>
    <mergeCell ref="J56:L56"/>
    <mergeCell ref="H108:L108"/>
    <mergeCell ref="H109:J110"/>
    <mergeCell ref="O109:Q109"/>
    <mergeCell ref="O110:Q110"/>
    <mergeCell ref="H103:I103"/>
    <mergeCell ref="H104:I104"/>
    <mergeCell ref="H106:K106"/>
    <mergeCell ref="H107:L107"/>
    <mergeCell ref="J115:L115"/>
    <mergeCell ref="J116:L116"/>
    <mergeCell ref="J117:L117"/>
    <mergeCell ref="J118:L118"/>
    <mergeCell ref="H111:J112"/>
    <mergeCell ref="N111:Q111"/>
    <mergeCell ref="N112:Q112"/>
    <mergeCell ref="I114:L114"/>
    <mergeCell ref="J123:O123"/>
    <mergeCell ref="H125:K125"/>
    <mergeCell ref="H126:K126"/>
    <mergeCell ref="H127:K127"/>
    <mergeCell ref="H124:K124"/>
    <mergeCell ref="J119:L119"/>
    <mergeCell ref="J120:L120"/>
    <mergeCell ref="J121:L121"/>
    <mergeCell ref="J122:L122"/>
    <mergeCell ref="H132:K132"/>
    <mergeCell ref="H133:K133"/>
    <mergeCell ref="H134:K134"/>
    <mergeCell ref="H169:H170"/>
    <mergeCell ref="H128:K128"/>
    <mergeCell ref="H129:K129"/>
    <mergeCell ref="H130:K130"/>
    <mergeCell ref="H131:K131"/>
    <mergeCell ref="J177:N177"/>
    <mergeCell ref="J178:N178"/>
    <mergeCell ref="J179:N179"/>
    <mergeCell ref="J180:N180"/>
    <mergeCell ref="H171:H172"/>
    <mergeCell ref="J174:N174"/>
    <mergeCell ref="J175:N175"/>
    <mergeCell ref="J176:N176"/>
    <mergeCell ref="W5:X11"/>
    <mergeCell ref="D52:E52"/>
    <mergeCell ref="D53:E53"/>
    <mergeCell ref="T32:U32"/>
    <mergeCell ref="L33:O33"/>
    <mergeCell ref="D51:E51"/>
    <mergeCell ref="J52:L52"/>
    <mergeCell ref="J53:L53"/>
    <mergeCell ref="T29:V29"/>
    <mergeCell ref="S19:U19"/>
    <mergeCell ref="D10:E10"/>
    <mergeCell ref="A20:A21"/>
    <mergeCell ref="B20:B21"/>
    <mergeCell ref="C20:C21"/>
    <mergeCell ref="A10:A12"/>
    <mergeCell ref="B10:B12"/>
    <mergeCell ref="C10:C12"/>
    <mergeCell ref="D11:D12"/>
    <mergeCell ref="A30:A31"/>
    <mergeCell ref="B30:B31"/>
    <mergeCell ref="C30:C31"/>
    <mergeCell ref="D30:D31"/>
    <mergeCell ref="A8:E8"/>
    <mergeCell ref="H8:L8"/>
    <mergeCell ref="H9:L9"/>
    <mergeCell ref="D20:D21"/>
    <mergeCell ref="E11:E12"/>
    <mergeCell ref="E20:E21"/>
    <mergeCell ref="N51:O52"/>
    <mergeCell ref="O20:Q21"/>
    <mergeCell ref="H50:J50"/>
    <mergeCell ref="D43:E43"/>
    <mergeCell ref="E30:E31"/>
    <mergeCell ref="I40:J40"/>
    <mergeCell ref="P37:Q37"/>
    <mergeCell ref="P38:Q38"/>
    <mergeCell ref="H37:H38"/>
    <mergeCell ref="I38:J38"/>
  </mergeCells>
  <printOptions/>
  <pageMargins left="0" right="0" top="0.1968503937007874" bottom="0" header="0.5118110236220472" footer="0.5118110236220472"/>
  <pageSetup horizontalDpi="600" verticalDpi="600" orientation="portrait" paperSize="9" scale="75" r:id="rId3"/>
  <rowBreaks count="1" manualBreakCount="1">
    <brk id="71" max="27" man="1"/>
  </rowBreaks>
  <colBreaks count="2" manualBreakCount="2">
    <brk id="6" max="65535" man="1"/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87"/>
  <sheetViews>
    <sheetView zoomScaleSheetLayoutView="90" zoomScalePageLayoutView="0" workbookViewId="0" topLeftCell="A1">
      <selection activeCell="G29" sqref="G29"/>
    </sheetView>
  </sheetViews>
  <sheetFormatPr defaultColWidth="9.33203125" defaultRowHeight="12.75"/>
  <cols>
    <col min="1" max="1" width="7" style="0" customWidth="1"/>
    <col min="2" max="2" width="59.83203125" style="0" customWidth="1"/>
    <col min="3" max="3" width="8.5" style="0" customWidth="1"/>
    <col min="4" max="4" width="12.33203125" style="0" customWidth="1"/>
    <col min="5" max="5" width="11.33203125" style="0" customWidth="1"/>
    <col min="6" max="6" width="13" style="0" customWidth="1"/>
    <col min="7" max="7" width="12.5" style="0" customWidth="1"/>
    <col min="8" max="8" width="13" style="0" customWidth="1"/>
    <col min="9" max="9" width="13.16015625" style="0" customWidth="1"/>
    <col min="11" max="11" width="18.33203125" style="0" customWidth="1"/>
    <col min="12" max="12" width="11.5" style="0" customWidth="1"/>
    <col min="13" max="14" width="10.83203125" style="0" customWidth="1"/>
    <col min="15" max="15" width="12.16015625" style="0" customWidth="1"/>
    <col min="16" max="16" width="11.83203125" style="0" customWidth="1"/>
    <col min="17" max="17" width="11.5" style="0" customWidth="1"/>
    <col min="18" max="18" width="13.5" style="0" customWidth="1"/>
    <col min="19" max="19" width="12.16015625" style="0" customWidth="1"/>
    <col min="20" max="20" width="12.5" style="13" customWidth="1"/>
    <col min="21" max="21" width="9.33203125" style="13" customWidth="1"/>
    <col min="22" max="22" width="32.33203125" style="0" customWidth="1"/>
    <col min="23" max="23" width="15.83203125" style="0" customWidth="1"/>
    <col min="24" max="24" width="16.33203125" style="0" customWidth="1"/>
    <col min="25" max="25" width="11.16015625" style="0" customWidth="1"/>
    <col min="26" max="26" width="9.33203125" style="0" customWidth="1"/>
  </cols>
  <sheetData>
    <row r="1" spans="1:29" ht="17.25">
      <c r="A1" s="630" t="s">
        <v>102</v>
      </c>
      <c r="B1" s="630"/>
      <c r="C1" s="630"/>
      <c r="D1" s="630"/>
      <c r="E1" s="630"/>
      <c r="F1" s="630"/>
      <c r="G1" s="630"/>
      <c r="H1" s="630"/>
      <c r="I1" s="11"/>
      <c r="K1" s="12"/>
      <c r="L1" s="12"/>
      <c r="M1" s="12"/>
      <c r="N1" s="12"/>
      <c r="O1" s="12"/>
      <c r="P1" s="12"/>
      <c r="Q1" s="12"/>
      <c r="R1" s="12"/>
      <c r="S1" s="12"/>
      <c r="T1" s="12"/>
      <c r="V1" s="603" t="s">
        <v>1</v>
      </c>
      <c r="W1" s="603"/>
      <c r="X1" s="603"/>
      <c r="Y1" s="603"/>
      <c r="Z1" s="603"/>
      <c r="AA1" s="603"/>
      <c r="AB1" s="603"/>
      <c r="AC1" s="14"/>
    </row>
    <row r="2" spans="1:30" ht="17.25">
      <c r="A2" s="593" t="s">
        <v>243</v>
      </c>
      <c r="B2" s="593"/>
      <c r="C2" s="593"/>
      <c r="D2" s="593"/>
      <c r="E2" s="593"/>
      <c r="F2" s="593"/>
      <c r="G2" s="593"/>
      <c r="H2" s="593"/>
      <c r="I2" s="16"/>
      <c r="K2" s="12"/>
      <c r="L2" s="12"/>
      <c r="M2" s="12"/>
      <c r="N2" s="12"/>
      <c r="O2" s="12"/>
      <c r="P2" s="12"/>
      <c r="Q2" s="12"/>
      <c r="R2" s="12"/>
      <c r="S2" s="12"/>
      <c r="T2" s="12"/>
      <c r="V2" s="604" t="s">
        <v>103</v>
      </c>
      <c r="W2" s="604"/>
      <c r="X2" s="604"/>
      <c r="Y2" s="17"/>
      <c r="Z2" s="17"/>
      <c r="AA2" s="17"/>
      <c r="AB2" s="17"/>
      <c r="AC2" s="17"/>
      <c r="AD2" s="13"/>
    </row>
    <row r="3" spans="1:30" ht="15.75">
      <c r="A3" s="593" t="s">
        <v>248</v>
      </c>
      <c r="B3" s="593"/>
      <c r="C3" s="593"/>
      <c r="D3" s="593"/>
      <c r="E3" s="593"/>
      <c r="F3" s="593"/>
      <c r="G3" s="593"/>
      <c r="H3" s="593"/>
      <c r="I3" s="16"/>
      <c r="K3" s="606" t="s">
        <v>38</v>
      </c>
      <c r="L3" s="606"/>
      <c r="M3" s="606"/>
      <c r="N3" s="601" t="s">
        <v>39</v>
      </c>
      <c r="O3" s="601"/>
      <c r="P3" s="601"/>
      <c r="Q3" s="601"/>
      <c r="R3" s="601"/>
      <c r="S3" s="601"/>
      <c r="T3"/>
      <c r="V3" s="1" t="s">
        <v>177</v>
      </c>
      <c r="W3" s="2"/>
      <c r="X3" s="2"/>
      <c r="Y3" s="2"/>
      <c r="Z3" s="2"/>
      <c r="AA3" s="2"/>
      <c r="AB3" s="2"/>
      <c r="AC3" s="17"/>
      <c r="AD3" s="13"/>
    </row>
    <row r="4" spans="1:30" ht="15.75">
      <c r="A4" s="593" t="s">
        <v>258</v>
      </c>
      <c r="B4" s="593"/>
      <c r="C4" s="593"/>
      <c r="D4" s="593"/>
      <c r="E4" s="593"/>
      <c r="F4" s="593"/>
      <c r="G4" s="593"/>
      <c r="H4" s="593"/>
      <c r="I4" s="15"/>
      <c r="K4" s="606"/>
      <c r="L4" s="606"/>
      <c r="M4" s="606"/>
      <c r="N4" s="598" t="s">
        <v>42</v>
      </c>
      <c r="O4" s="598"/>
      <c r="P4" s="598" t="s">
        <v>43</v>
      </c>
      <c r="Q4" s="598"/>
      <c r="R4" s="598" t="s">
        <v>44</v>
      </c>
      <c r="S4" s="598"/>
      <c r="T4"/>
      <c r="V4" s="18" t="s">
        <v>15</v>
      </c>
      <c r="W4" s="19" t="s">
        <v>16</v>
      </c>
      <c r="X4" s="20" t="s">
        <v>17</v>
      </c>
      <c r="Y4" s="20" t="s">
        <v>18</v>
      </c>
      <c r="Z4" s="2"/>
      <c r="AA4" s="2"/>
      <c r="AB4" s="2"/>
      <c r="AC4" s="17"/>
      <c r="AD4" s="13"/>
    </row>
    <row r="5" spans="1:30" ht="15.75" customHeight="1">
      <c r="A5" s="605"/>
      <c r="B5" s="605"/>
      <c r="C5" s="605"/>
      <c r="D5" s="605"/>
      <c r="E5" s="605"/>
      <c r="F5" s="605"/>
      <c r="G5" s="605"/>
      <c r="H5" s="605"/>
      <c r="I5" s="16"/>
      <c r="K5" s="594" t="s">
        <v>12</v>
      </c>
      <c r="L5" s="594"/>
      <c r="M5" s="594"/>
      <c r="N5" s="594">
        <v>60</v>
      </c>
      <c r="O5" s="594"/>
      <c r="P5" s="594">
        <v>700</v>
      </c>
      <c r="Q5" s="594"/>
      <c r="R5" s="594">
        <v>1130</v>
      </c>
      <c r="S5" s="594"/>
      <c r="T5"/>
      <c r="V5" s="18" t="s">
        <v>178</v>
      </c>
      <c r="W5" s="18">
        <v>29.2</v>
      </c>
      <c r="X5" s="365">
        <v>1.22</v>
      </c>
      <c r="Y5" s="631">
        <f>W5/100*W6*2*X5/W7</f>
        <v>24.936799999999998</v>
      </c>
      <c r="Z5" s="708" t="s">
        <v>216</v>
      </c>
      <c r="AA5" s="709"/>
      <c r="AB5" s="2"/>
      <c r="AC5" s="17"/>
      <c r="AD5" s="13"/>
    </row>
    <row r="6" spans="5:30" ht="15.75">
      <c r="E6" s="16"/>
      <c r="K6" s="594" t="s">
        <v>14</v>
      </c>
      <c r="L6" s="594"/>
      <c r="M6" s="594"/>
      <c r="N6" s="594">
        <v>40</v>
      </c>
      <c r="O6" s="594"/>
      <c r="P6" s="594">
        <v>470</v>
      </c>
      <c r="Q6" s="594"/>
      <c r="R6" s="594">
        <v>810</v>
      </c>
      <c r="S6" s="594"/>
      <c r="T6"/>
      <c r="V6" s="18" t="s">
        <v>22</v>
      </c>
      <c r="W6" s="564">
        <v>35</v>
      </c>
      <c r="X6" s="564"/>
      <c r="Y6" s="631"/>
      <c r="Z6" s="710"/>
      <c r="AA6" s="709"/>
      <c r="AB6" s="2"/>
      <c r="AC6" s="17"/>
      <c r="AD6" s="13"/>
    </row>
    <row r="7" spans="1:30" ht="15.75">
      <c r="A7" s="597" t="s">
        <v>19</v>
      </c>
      <c r="B7" s="597"/>
      <c r="C7" s="597"/>
      <c r="D7" s="597"/>
      <c r="E7" s="597"/>
      <c r="F7" s="597"/>
      <c r="G7" s="597"/>
      <c r="H7" s="597"/>
      <c r="I7" s="21"/>
      <c r="K7" s="594" t="s">
        <v>20</v>
      </c>
      <c r="L7" s="594"/>
      <c r="M7" s="594"/>
      <c r="N7" s="594">
        <v>30</v>
      </c>
      <c r="O7" s="594"/>
      <c r="P7" s="594">
        <v>350</v>
      </c>
      <c r="Q7" s="594"/>
      <c r="R7" s="594">
        <v>430</v>
      </c>
      <c r="S7" s="594"/>
      <c r="T7"/>
      <c r="V7" s="18" t="s">
        <v>24</v>
      </c>
      <c r="W7" s="565">
        <v>1</v>
      </c>
      <c r="X7" s="565"/>
      <c r="Y7" s="631"/>
      <c r="Z7" s="710"/>
      <c r="AA7" s="709"/>
      <c r="AB7" s="2"/>
      <c r="AC7" s="17"/>
      <c r="AD7" s="13"/>
    </row>
    <row r="8" spans="1:30" ht="15.75">
      <c r="A8" s="513" t="s">
        <v>215</v>
      </c>
      <c r="B8" s="513"/>
      <c r="C8" s="513"/>
      <c r="D8" s="513"/>
      <c r="E8" s="513"/>
      <c r="F8" s="513"/>
      <c r="G8" s="513"/>
      <c r="H8" s="513"/>
      <c r="I8" s="22"/>
      <c r="K8" s="594" t="s">
        <v>21</v>
      </c>
      <c r="L8" s="594"/>
      <c r="M8" s="594"/>
      <c r="N8" s="594">
        <v>22</v>
      </c>
      <c r="O8" s="594"/>
      <c r="P8" s="594">
        <v>260</v>
      </c>
      <c r="Q8" s="594"/>
      <c r="R8" s="594">
        <v>230</v>
      </c>
      <c r="S8" s="594"/>
      <c r="T8"/>
      <c r="V8" s="18" t="s">
        <v>180</v>
      </c>
      <c r="W8" s="23">
        <v>0.022</v>
      </c>
      <c r="X8" s="24">
        <v>3.67</v>
      </c>
      <c r="Y8" s="368">
        <f>W5/100*W6*2*W8*X8/W7</f>
        <v>1.6503255999999997</v>
      </c>
      <c r="Z8" s="710"/>
      <c r="AA8" s="709"/>
      <c r="AB8" s="17"/>
      <c r="AC8" s="17"/>
      <c r="AD8" s="13"/>
    </row>
    <row r="9" spans="5:30" ht="18" customHeight="1" thickBot="1">
      <c r="E9" s="16"/>
      <c r="K9" s="594" t="s">
        <v>23</v>
      </c>
      <c r="L9" s="594"/>
      <c r="M9" s="594"/>
      <c r="N9" s="594">
        <v>16</v>
      </c>
      <c r="O9" s="594"/>
      <c r="P9" s="594">
        <v>190</v>
      </c>
      <c r="Q9" s="594"/>
      <c r="R9" s="594">
        <v>130</v>
      </c>
      <c r="S9" s="594"/>
      <c r="T9"/>
      <c r="V9" s="25" t="s">
        <v>36</v>
      </c>
      <c r="W9" s="566">
        <f>20.71+43.55</f>
        <v>64.25999999999999</v>
      </c>
      <c r="X9" s="566"/>
      <c r="Y9" s="566"/>
      <c r="Z9" s="710"/>
      <c r="AA9" s="709"/>
      <c r="AB9" s="17"/>
      <c r="AC9" s="26"/>
      <c r="AD9" s="13"/>
    </row>
    <row r="10" spans="1:30" ht="16.5" thickBot="1">
      <c r="A10" s="632" t="s">
        <v>25</v>
      </c>
      <c r="B10" s="634" t="s">
        <v>26</v>
      </c>
      <c r="C10" s="636" t="s">
        <v>27</v>
      </c>
      <c r="D10" s="638" t="s">
        <v>28</v>
      </c>
      <c r="E10" s="639"/>
      <c r="F10" s="639"/>
      <c r="G10" s="639"/>
      <c r="H10" s="639"/>
      <c r="I10" s="640"/>
      <c r="K10" s="594" t="s">
        <v>106</v>
      </c>
      <c r="L10" s="594"/>
      <c r="M10" s="594"/>
      <c r="N10" s="594">
        <v>10</v>
      </c>
      <c r="O10" s="594"/>
      <c r="P10" s="594">
        <v>190</v>
      </c>
      <c r="Q10" s="594"/>
      <c r="R10" s="594">
        <v>130</v>
      </c>
      <c r="S10" s="594"/>
      <c r="T10" s="27"/>
      <c r="V10" s="28" t="s">
        <v>40</v>
      </c>
      <c r="W10" s="566">
        <f>13.51+5.76+0.09</f>
        <v>19.36</v>
      </c>
      <c r="X10" s="566"/>
      <c r="Y10" s="566"/>
      <c r="Z10" s="710"/>
      <c r="AA10" s="709"/>
      <c r="AB10" s="173"/>
      <c r="AC10" s="29"/>
      <c r="AD10" s="13"/>
    </row>
    <row r="11" spans="1:30" ht="19.5" thickBot="1">
      <c r="A11" s="633"/>
      <c r="B11" s="635"/>
      <c r="C11" s="637"/>
      <c r="D11" s="30" t="s">
        <v>11</v>
      </c>
      <c r="E11" s="31" t="s">
        <v>30</v>
      </c>
      <c r="F11" s="32" t="s">
        <v>31</v>
      </c>
      <c r="G11" s="32" t="s">
        <v>32</v>
      </c>
      <c r="H11" s="33" t="s">
        <v>33</v>
      </c>
      <c r="I11" s="424" t="s">
        <v>252</v>
      </c>
      <c r="K11" s="34"/>
      <c r="L11" s="34"/>
      <c r="M11" s="27"/>
      <c r="N11" s="35"/>
      <c r="O11" s="36"/>
      <c r="P11" s="36"/>
      <c r="Q11" s="37"/>
      <c r="R11" s="37"/>
      <c r="S11" s="38"/>
      <c r="T11" s="38"/>
      <c r="V11" s="39" t="s">
        <v>231</v>
      </c>
      <c r="W11" s="641">
        <f>1.63+3.3</f>
        <v>4.93</v>
      </c>
      <c r="X11" s="641"/>
      <c r="Y11" s="641"/>
      <c r="Z11" s="710"/>
      <c r="AA11" s="709"/>
      <c r="AB11" s="275">
        <f>4.6*4</f>
        <v>18.4</v>
      </c>
      <c r="AC11" s="29"/>
      <c r="AD11" s="13"/>
    </row>
    <row r="12" spans="1:30" s="43" customFormat="1" ht="15.75" customHeight="1">
      <c r="A12" s="40" t="s">
        <v>108</v>
      </c>
      <c r="B12" s="41" t="s">
        <v>37</v>
      </c>
      <c r="C12" s="42"/>
      <c r="D12" s="348">
        <f>T30</f>
        <v>0.57</v>
      </c>
      <c r="E12" s="374">
        <f>1135/10000</f>
        <v>0.1135</v>
      </c>
      <c r="F12" s="374">
        <f>T32</f>
        <v>0.1703</v>
      </c>
      <c r="G12" s="374">
        <f>T33</f>
        <v>0.227</v>
      </c>
      <c r="H12" s="374">
        <f>T34</f>
        <v>0.227</v>
      </c>
      <c r="I12" s="375">
        <f>T35</f>
        <v>0.227</v>
      </c>
      <c r="K12" s="642" t="s">
        <v>181</v>
      </c>
      <c r="L12" s="642"/>
      <c r="M12" s="642"/>
      <c r="N12" s="642"/>
      <c r="O12" s="642"/>
      <c r="P12" s="642"/>
      <c r="Q12" s="642"/>
      <c r="R12" s="642"/>
      <c r="S12" s="642"/>
      <c r="T12" s="642"/>
      <c r="U12" s="44"/>
      <c r="V12" s="25" t="s">
        <v>46</v>
      </c>
      <c r="W12" s="643">
        <f>Y5+Y8+W9+W10+W11</f>
        <v>115.13712559999999</v>
      </c>
      <c r="X12" s="643"/>
      <c r="Y12" s="643"/>
      <c r="AA12" s="44"/>
      <c r="AB12" s="44"/>
      <c r="AC12" s="45"/>
      <c r="AD12" s="44"/>
    </row>
    <row r="13" spans="1:30" s="43" customFormat="1" ht="15.75" customHeight="1">
      <c r="A13" s="46">
        <v>2</v>
      </c>
      <c r="B13" s="47" t="s">
        <v>41</v>
      </c>
      <c r="C13" s="48"/>
      <c r="D13" s="348">
        <f aca="true" t="shared" si="0" ref="D13:I13">D12</f>
        <v>0.57</v>
      </c>
      <c r="E13" s="374">
        <f t="shared" si="0"/>
        <v>0.1135</v>
      </c>
      <c r="F13" s="374">
        <f t="shared" si="0"/>
        <v>0.1703</v>
      </c>
      <c r="G13" s="374">
        <f t="shared" si="0"/>
        <v>0.227</v>
      </c>
      <c r="H13" s="374">
        <f t="shared" si="0"/>
        <v>0.227</v>
      </c>
      <c r="I13" s="375">
        <f t="shared" si="0"/>
        <v>0.227</v>
      </c>
      <c r="K13" s="514" t="s">
        <v>58</v>
      </c>
      <c r="L13" s="514"/>
      <c r="M13" s="514"/>
      <c r="N13" s="514"/>
      <c r="O13" s="514"/>
      <c r="P13" s="349">
        <v>70</v>
      </c>
      <c r="Q13" s="49" t="s">
        <v>59</v>
      </c>
      <c r="R13" s="50"/>
      <c r="S13" s="50"/>
      <c r="T13" s="50"/>
      <c r="U13" s="44"/>
      <c r="V13" s="51"/>
      <c r="W13" s="52"/>
      <c r="X13" s="2"/>
      <c r="Y13" s="2"/>
      <c r="Z13" s="2"/>
      <c r="AA13" s="17"/>
      <c r="AB13" s="17"/>
      <c r="AC13" s="45"/>
      <c r="AD13" s="44"/>
    </row>
    <row r="14" spans="1:30" s="43" customFormat="1" ht="15.75" customHeight="1">
      <c r="A14" s="46"/>
      <c r="B14" s="53" t="s">
        <v>45</v>
      </c>
      <c r="C14" s="48"/>
      <c r="D14" s="348">
        <f aca="true" t="shared" si="1" ref="D14:I14">D12</f>
        <v>0.57</v>
      </c>
      <c r="E14" s="348">
        <f t="shared" si="1"/>
        <v>0.1135</v>
      </c>
      <c r="F14" s="348">
        <f t="shared" si="1"/>
        <v>0.1703</v>
      </c>
      <c r="G14" s="348">
        <f t="shared" si="1"/>
        <v>0.227</v>
      </c>
      <c r="H14" s="348">
        <f t="shared" si="1"/>
        <v>0.227</v>
      </c>
      <c r="I14" s="376">
        <f t="shared" si="1"/>
        <v>0.227</v>
      </c>
      <c r="K14" s="514" t="s">
        <v>62</v>
      </c>
      <c r="L14" s="514"/>
      <c r="M14" s="514"/>
      <c r="N14" s="514"/>
      <c r="O14" s="514"/>
      <c r="P14" s="54">
        <v>168</v>
      </c>
      <c r="Q14" s="49" t="s">
        <v>8</v>
      </c>
      <c r="R14" s="50"/>
      <c r="S14" s="50"/>
      <c r="T14" s="50"/>
      <c r="U14" s="44"/>
      <c r="V14" s="17"/>
      <c r="W14" s="17"/>
      <c r="X14" s="17"/>
      <c r="Y14" s="17"/>
      <c r="Z14" s="17"/>
      <c r="AA14" s="17"/>
      <c r="AB14" s="17"/>
      <c r="AC14" s="17"/>
      <c r="AD14" s="44"/>
    </row>
    <row r="15" spans="1:30" s="43" customFormat="1" ht="15.75" customHeight="1">
      <c r="A15" s="46" t="s">
        <v>109</v>
      </c>
      <c r="B15" s="47" t="s">
        <v>47</v>
      </c>
      <c r="C15" s="48"/>
      <c r="D15" s="348">
        <f aca="true" t="shared" si="2" ref="D15:I15">M104</f>
        <v>1.0373338599171884</v>
      </c>
      <c r="E15" s="348">
        <f t="shared" si="2"/>
        <v>1.3801133626480033</v>
      </c>
      <c r="F15" s="348">
        <f t="shared" si="2"/>
        <v>1.9715864033720576</v>
      </c>
      <c r="G15" s="348">
        <f t="shared" si="2"/>
        <v>3.4439503465915857</v>
      </c>
      <c r="H15" s="348">
        <f t="shared" si="2"/>
        <v>4.866783054630606</v>
      </c>
      <c r="I15" s="376">
        <f t="shared" si="2"/>
        <v>7.582478632103968</v>
      </c>
      <c r="K15" s="514" t="s">
        <v>64</v>
      </c>
      <c r="L15" s="514"/>
      <c r="M15" s="514"/>
      <c r="N15" s="514"/>
      <c r="O15" s="514"/>
      <c r="P15" s="54">
        <v>1.3</v>
      </c>
      <c r="Q15" s="49"/>
      <c r="R15" s="50"/>
      <c r="S15" s="50"/>
      <c r="T15" s="50"/>
      <c r="U15" s="44"/>
      <c r="V15" s="55" t="s">
        <v>110</v>
      </c>
      <c r="W15" s="523" t="s">
        <v>39</v>
      </c>
      <c r="X15" s="523"/>
      <c r="Y15" s="56" t="s">
        <v>50</v>
      </c>
      <c r="Z15" s="17"/>
      <c r="AA15" s="17"/>
      <c r="AB15" s="17"/>
      <c r="AC15" s="17"/>
      <c r="AD15" s="44"/>
    </row>
    <row r="16" spans="1:30" s="43" customFormat="1" ht="15.75" customHeight="1">
      <c r="A16" s="46" t="s">
        <v>111</v>
      </c>
      <c r="B16" s="47" t="s">
        <v>48</v>
      </c>
      <c r="C16" s="57">
        <v>34</v>
      </c>
      <c r="D16" s="348">
        <f aca="true" t="shared" si="3" ref="D16:I16">D15*$C$16/100</f>
        <v>0.3526935123718441</v>
      </c>
      <c r="E16" s="348">
        <f t="shared" si="3"/>
        <v>0.46923854330032116</v>
      </c>
      <c r="F16" s="348">
        <f t="shared" si="3"/>
        <v>0.6703393771464995</v>
      </c>
      <c r="G16" s="348">
        <f t="shared" si="3"/>
        <v>1.1709431178411391</v>
      </c>
      <c r="H16" s="348">
        <f t="shared" si="3"/>
        <v>1.6547062385744058</v>
      </c>
      <c r="I16" s="376">
        <f t="shared" si="3"/>
        <v>2.578042734915349</v>
      </c>
      <c r="K16" s="514" t="s">
        <v>67</v>
      </c>
      <c r="L16" s="514"/>
      <c r="M16" s="514"/>
      <c r="N16" s="514"/>
      <c r="O16" s="514"/>
      <c r="P16" s="54">
        <v>8</v>
      </c>
      <c r="Q16" s="49" t="s">
        <v>8</v>
      </c>
      <c r="R16" s="50"/>
      <c r="S16" s="50"/>
      <c r="T16" s="50"/>
      <c r="U16" s="44"/>
      <c r="V16" s="27" t="s">
        <v>12</v>
      </c>
      <c r="W16" s="58">
        <f aca="true" t="shared" si="4" ref="W16:W21">N5</f>
        <v>60</v>
      </c>
      <c r="X16" s="17"/>
      <c r="Y16" s="366">
        <f>W12/W16</f>
        <v>1.9189520933333333</v>
      </c>
      <c r="Z16" s="60"/>
      <c r="AA16" s="60"/>
      <c r="AB16" s="17"/>
      <c r="AC16" s="17"/>
      <c r="AD16" s="44"/>
    </row>
    <row r="17" spans="1:30" s="43" customFormat="1" ht="15.75" customHeight="1">
      <c r="A17" s="46" t="s">
        <v>112</v>
      </c>
      <c r="B17" s="47" t="s">
        <v>49</v>
      </c>
      <c r="C17" s="57"/>
      <c r="D17" s="348">
        <f aca="true" t="shared" si="5" ref="D17:I17">D15*$C$17/100</f>
        <v>0</v>
      </c>
      <c r="E17" s="348">
        <f t="shared" si="5"/>
        <v>0</v>
      </c>
      <c r="F17" s="348">
        <f t="shared" si="5"/>
        <v>0</v>
      </c>
      <c r="G17" s="348">
        <f t="shared" si="5"/>
        <v>0</v>
      </c>
      <c r="H17" s="348">
        <f t="shared" si="5"/>
        <v>0</v>
      </c>
      <c r="I17" s="376">
        <f t="shared" si="5"/>
        <v>0</v>
      </c>
      <c r="K17" s="50"/>
      <c r="L17" s="61"/>
      <c r="M17" s="61"/>
      <c r="N17" s="61"/>
      <c r="O17" s="61"/>
      <c r="P17" s="61"/>
      <c r="Q17" s="62"/>
      <c r="R17" s="62"/>
      <c r="S17" s="63"/>
      <c r="T17" s="63"/>
      <c r="U17" s="44"/>
      <c r="V17" s="27" t="s">
        <v>14</v>
      </c>
      <c r="W17" s="58">
        <f t="shared" si="4"/>
        <v>40</v>
      </c>
      <c r="X17" s="17"/>
      <c r="Y17" s="366">
        <f>W12/W17</f>
        <v>2.8784281399999996</v>
      </c>
      <c r="Z17" s="64"/>
      <c r="AA17" s="64"/>
      <c r="AB17" s="17"/>
      <c r="AC17" s="17"/>
      <c r="AD17" s="44"/>
    </row>
    <row r="18" spans="1:30" s="43" customFormat="1" ht="15.75" customHeight="1">
      <c r="A18" s="65">
        <v>6</v>
      </c>
      <c r="B18" s="66" t="s">
        <v>113</v>
      </c>
      <c r="C18" s="67">
        <v>0.6</v>
      </c>
      <c r="D18" s="348">
        <f>D15*C18/100</f>
        <v>0.00622400315950313</v>
      </c>
      <c r="E18" s="348">
        <f>E15*C18/100</f>
        <v>0.00828068017588802</v>
      </c>
      <c r="F18" s="348">
        <f>F15*C18/100</f>
        <v>0.011829518420232346</v>
      </c>
      <c r="G18" s="348">
        <f>G15*C18/100</f>
        <v>0.020663702079549515</v>
      </c>
      <c r="H18" s="348">
        <f>H15*C18/100</f>
        <v>0.029200698327783634</v>
      </c>
      <c r="I18" s="377">
        <f>I15*C18/100</f>
        <v>0.04549487179262381</v>
      </c>
      <c r="K18" s="50"/>
      <c r="L18" s="61"/>
      <c r="M18" s="61"/>
      <c r="N18" s="61"/>
      <c r="O18" s="61"/>
      <c r="P18" s="61"/>
      <c r="Q18" s="62"/>
      <c r="R18" s="62"/>
      <c r="S18" s="63"/>
      <c r="T18" s="63"/>
      <c r="U18" s="44"/>
      <c r="V18" s="27" t="s">
        <v>20</v>
      </c>
      <c r="W18" s="58">
        <f t="shared" si="4"/>
        <v>30</v>
      </c>
      <c r="X18" s="68"/>
      <c r="Y18" s="366">
        <f>W12/W18</f>
        <v>3.8379041866666666</v>
      </c>
      <c r="Z18" s="64"/>
      <c r="AA18" s="64"/>
      <c r="AB18" s="17"/>
      <c r="AC18" s="17"/>
      <c r="AD18" s="44"/>
    </row>
    <row r="19" spans="1:30" s="43" customFormat="1" ht="15.75" customHeight="1">
      <c r="A19" s="644">
        <v>7</v>
      </c>
      <c r="B19" s="646" t="s">
        <v>202</v>
      </c>
      <c r="C19" s="648"/>
      <c r="D19" s="650">
        <f>Y16</f>
        <v>1.9189520933333333</v>
      </c>
      <c r="E19" s="650">
        <f>Y17</f>
        <v>2.8784281399999996</v>
      </c>
      <c r="F19" s="650">
        <f>Y18</f>
        <v>3.8379041866666666</v>
      </c>
      <c r="G19" s="650">
        <f>Y19</f>
        <v>5.233505709090909</v>
      </c>
      <c r="H19" s="650">
        <f>Y20</f>
        <v>7.196070349999999</v>
      </c>
      <c r="I19" s="651">
        <f>Y21</f>
        <v>11.513712559999998</v>
      </c>
      <c r="K19" s="50"/>
      <c r="L19" s="50"/>
      <c r="M19" s="50"/>
      <c r="N19" s="69" t="s">
        <v>73</v>
      </c>
      <c r="O19" s="69"/>
      <c r="P19" s="69"/>
      <c r="Q19" s="50"/>
      <c r="R19" s="61"/>
      <c r="S19" s="70"/>
      <c r="T19" s="70"/>
      <c r="U19" s="44"/>
      <c r="V19" s="27" t="s">
        <v>21</v>
      </c>
      <c r="W19" s="58">
        <f t="shared" si="4"/>
        <v>22</v>
      </c>
      <c r="X19" s="68"/>
      <c r="Y19" s="366">
        <f>W12/W19</f>
        <v>5.233505709090909</v>
      </c>
      <c r="Z19" s="64"/>
      <c r="AA19" s="64"/>
      <c r="AB19" s="17"/>
      <c r="AC19" s="17"/>
      <c r="AD19" s="44"/>
    </row>
    <row r="20" spans="1:30" s="43" customFormat="1" ht="15.75" customHeight="1">
      <c r="A20" s="645"/>
      <c r="B20" s="647"/>
      <c r="C20" s="649"/>
      <c r="D20" s="650"/>
      <c r="E20" s="650"/>
      <c r="F20" s="650"/>
      <c r="G20" s="650"/>
      <c r="H20" s="650"/>
      <c r="I20" s="652"/>
      <c r="K20" s="71"/>
      <c r="L20" s="54" t="s">
        <v>5</v>
      </c>
      <c r="M20" s="54" t="s">
        <v>75</v>
      </c>
      <c r="N20" s="316" t="s">
        <v>76</v>
      </c>
      <c r="O20" s="54" t="s">
        <v>7</v>
      </c>
      <c r="P20" s="54" t="s">
        <v>8</v>
      </c>
      <c r="Q20" s="54" t="s">
        <v>77</v>
      </c>
      <c r="R20" s="61"/>
      <c r="S20" s="72"/>
      <c r="T20" s="72"/>
      <c r="U20" s="44"/>
      <c r="V20" s="27" t="s">
        <v>23</v>
      </c>
      <c r="W20" s="58">
        <f t="shared" si="4"/>
        <v>16</v>
      </c>
      <c r="X20" s="68"/>
      <c r="Y20" s="366">
        <f>W12/W20</f>
        <v>7.196070349999999</v>
      </c>
      <c r="Z20" s="64"/>
      <c r="AA20" s="64"/>
      <c r="AB20" s="17"/>
      <c r="AC20" s="17"/>
      <c r="AD20" s="44"/>
    </row>
    <row r="21" spans="1:30" s="43" customFormat="1" ht="15.75" customHeight="1">
      <c r="A21" s="46">
        <v>8</v>
      </c>
      <c r="B21" s="47" t="s">
        <v>221</v>
      </c>
      <c r="C21" s="433">
        <f>X63</f>
        <v>0.1098419005049251</v>
      </c>
      <c r="D21" s="348">
        <f aca="true" t="shared" si="6" ref="D21:I21">D29*$C$21</f>
        <v>0.7780467952432195</v>
      </c>
      <c r="E21" s="348">
        <f t="shared" si="6"/>
        <v>0.9611166294180946</v>
      </c>
      <c r="F21" s="348">
        <f t="shared" si="6"/>
        <v>1.2357213806804073</v>
      </c>
      <c r="G21" s="348">
        <f t="shared" si="6"/>
        <v>1.8306983417487517</v>
      </c>
      <c r="H21" s="348">
        <f t="shared" si="6"/>
        <v>2.28837292718594</v>
      </c>
      <c r="I21" s="348">
        <f t="shared" si="6"/>
        <v>4.16483872747841</v>
      </c>
      <c r="K21" s="54" t="s">
        <v>79</v>
      </c>
      <c r="L21" s="79">
        <f>P$13</f>
        <v>70</v>
      </c>
      <c r="M21" s="54">
        <f>P$15</f>
        <v>1.3</v>
      </c>
      <c r="N21" s="54">
        <v>1.35</v>
      </c>
      <c r="O21" s="54">
        <f>P$14</f>
        <v>168</v>
      </c>
      <c r="P21" s="79">
        <f>P$16</f>
        <v>8</v>
      </c>
      <c r="Q21" s="79">
        <f>L21*M21*N21/O21*P21</f>
        <v>5.8500000000000005</v>
      </c>
      <c r="R21" s="61"/>
      <c r="S21" s="70"/>
      <c r="T21" s="70"/>
      <c r="U21" s="44"/>
      <c r="V21" s="27" t="s">
        <v>29</v>
      </c>
      <c r="W21" s="58">
        <f t="shared" si="4"/>
        <v>10</v>
      </c>
      <c r="X21" s="68"/>
      <c r="Y21" s="366">
        <f>W12/W21</f>
        <v>11.513712559999998</v>
      </c>
      <c r="Z21" s="75"/>
      <c r="AA21" s="75"/>
      <c r="AB21" s="76"/>
      <c r="AC21" s="17"/>
      <c r="AD21" s="44"/>
    </row>
    <row r="22" spans="1:30" s="43" customFormat="1" ht="15.75" customHeight="1">
      <c r="A22" s="46">
        <v>9</v>
      </c>
      <c r="B22" s="47" t="s">
        <v>61</v>
      </c>
      <c r="C22" s="73">
        <v>12.3</v>
      </c>
      <c r="D22" s="348">
        <f aca="true" t="shared" si="7" ref="D22:I22">D15*$C$22/100</f>
        <v>0.1275920647698142</v>
      </c>
      <c r="E22" s="348">
        <f t="shared" si="7"/>
        <v>0.1697539436057044</v>
      </c>
      <c r="F22" s="348">
        <f t="shared" si="7"/>
        <v>0.2425051276147631</v>
      </c>
      <c r="G22" s="348">
        <f t="shared" si="7"/>
        <v>0.42360589263076504</v>
      </c>
      <c r="H22" s="348">
        <f t="shared" si="7"/>
        <v>0.5986143157195645</v>
      </c>
      <c r="I22" s="376">
        <f t="shared" si="7"/>
        <v>0.9326448717487881</v>
      </c>
      <c r="K22" s="54" t="s">
        <v>115</v>
      </c>
      <c r="L22" s="79">
        <f>P$13</f>
        <v>70</v>
      </c>
      <c r="M22" s="54">
        <f>P$15</f>
        <v>1.3</v>
      </c>
      <c r="N22" s="54">
        <v>1.57</v>
      </c>
      <c r="O22" s="54">
        <f>P$14</f>
        <v>168</v>
      </c>
      <c r="P22" s="79">
        <f>P$16</f>
        <v>8</v>
      </c>
      <c r="Q22" s="79">
        <f>L22*M22*N22/O22*P22</f>
        <v>6.803333333333334</v>
      </c>
      <c r="R22" s="61"/>
      <c r="S22" s="70"/>
      <c r="T22" s="70"/>
      <c r="U22" s="44"/>
      <c r="Z22" s="64"/>
      <c r="AA22" s="64"/>
      <c r="AB22" s="17"/>
      <c r="AC22" s="17"/>
      <c r="AD22" s="44"/>
    </row>
    <row r="23" spans="1:30" s="43" customFormat="1" ht="15.75" customHeight="1">
      <c r="A23" s="46">
        <v>10</v>
      </c>
      <c r="B23" s="47" t="s">
        <v>63</v>
      </c>
      <c r="C23" s="77"/>
      <c r="D23" s="348"/>
      <c r="E23" s="348"/>
      <c r="F23" s="348"/>
      <c r="G23" s="348"/>
      <c r="H23" s="348"/>
      <c r="I23" s="348"/>
      <c r="K23" s="54" t="s">
        <v>116</v>
      </c>
      <c r="L23" s="79">
        <f>P$13</f>
        <v>70</v>
      </c>
      <c r="M23" s="54">
        <f>P$15</f>
        <v>1.3</v>
      </c>
      <c r="N23" s="54">
        <v>1.73</v>
      </c>
      <c r="O23" s="54">
        <f>P$14</f>
        <v>168</v>
      </c>
      <c r="P23" s="79">
        <f>P$16</f>
        <v>8</v>
      </c>
      <c r="Q23" s="79">
        <f>L23*M23*N23/O23*P23</f>
        <v>7.496666666666667</v>
      </c>
      <c r="R23" s="61"/>
      <c r="S23" s="70"/>
      <c r="T23" s="70"/>
      <c r="U23" s="44"/>
      <c r="V23" s="78"/>
      <c r="W23" s="17"/>
      <c r="X23" s="17"/>
      <c r="Y23" s="17"/>
      <c r="Z23" s="17"/>
      <c r="AA23" s="17"/>
      <c r="AB23" s="17"/>
      <c r="AC23" s="17"/>
      <c r="AD23" s="44"/>
    </row>
    <row r="24" spans="1:30" s="43" customFormat="1" ht="15.75" customHeight="1">
      <c r="A24" s="46">
        <v>11</v>
      </c>
      <c r="B24" s="47" t="s">
        <v>66</v>
      </c>
      <c r="C24" s="77"/>
      <c r="D24" s="348"/>
      <c r="E24" s="348"/>
      <c r="F24" s="374"/>
      <c r="G24" s="374"/>
      <c r="H24" s="374"/>
      <c r="I24" s="375"/>
      <c r="K24" s="54" t="s">
        <v>117</v>
      </c>
      <c r="L24" s="79">
        <f>P$13</f>
        <v>70</v>
      </c>
      <c r="M24" s="54">
        <f>P$15</f>
        <v>1.3</v>
      </c>
      <c r="N24" s="79">
        <v>1.9</v>
      </c>
      <c r="O24" s="54">
        <f>P$14</f>
        <v>168</v>
      </c>
      <c r="P24" s="79">
        <f>P$16</f>
        <v>8</v>
      </c>
      <c r="Q24" s="79">
        <f>L24*M24*N24/O24*P24</f>
        <v>8.233333333333334</v>
      </c>
      <c r="R24" s="50"/>
      <c r="S24" s="50"/>
      <c r="T24" s="50"/>
      <c r="U24" s="44"/>
      <c r="V24" s="533" t="s">
        <v>71</v>
      </c>
      <c r="W24" s="533"/>
      <c r="X24" s="533"/>
      <c r="Y24" s="17"/>
      <c r="Z24" s="17"/>
      <c r="AA24" s="17"/>
      <c r="AB24" s="17"/>
      <c r="AC24" s="17"/>
      <c r="AD24" s="44"/>
    </row>
    <row r="25" spans="1:30" s="43" customFormat="1" ht="15.75" customHeight="1">
      <c r="A25" s="46">
        <v>12</v>
      </c>
      <c r="B25" s="47" t="s">
        <v>69</v>
      </c>
      <c r="C25" s="77"/>
      <c r="D25" s="378">
        <f aca="true" t="shared" si="8" ref="D25:I25">SUM(D14:D24)</f>
        <v>4.790842328794902</v>
      </c>
      <c r="E25" s="378">
        <f t="shared" si="8"/>
        <v>5.9804312991480115</v>
      </c>
      <c r="F25" s="378">
        <f t="shared" si="8"/>
        <v>8.140185993900626</v>
      </c>
      <c r="G25" s="378">
        <f t="shared" si="8"/>
        <v>12.3503671099827</v>
      </c>
      <c r="H25" s="378">
        <f t="shared" si="8"/>
        <v>16.8607475844383</v>
      </c>
      <c r="I25" s="379">
        <f t="shared" si="8"/>
        <v>27.04421239803914</v>
      </c>
      <c r="K25" s="50"/>
      <c r="L25" s="350"/>
      <c r="M25" s="50"/>
      <c r="N25" s="50"/>
      <c r="O25" s="50"/>
      <c r="P25" s="50"/>
      <c r="Q25" s="50"/>
      <c r="R25" s="63"/>
      <c r="S25" s="61"/>
      <c r="T25" s="50"/>
      <c r="U25" s="44"/>
      <c r="V25" s="1" t="s">
        <v>254</v>
      </c>
      <c r="W25" s="2"/>
      <c r="X25" s="2"/>
      <c r="Y25" s="2"/>
      <c r="Z25" s="17"/>
      <c r="AA25" s="17"/>
      <c r="AB25" s="17"/>
      <c r="AC25" s="17"/>
      <c r="AD25" s="44"/>
    </row>
    <row r="26" spans="1:30" s="43" customFormat="1" ht="15.75" customHeight="1">
      <c r="A26" s="46">
        <v>13</v>
      </c>
      <c r="B26" s="47" t="s">
        <v>72</v>
      </c>
      <c r="C26" s="73"/>
      <c r="D26" s="348">
        <f aca="true" t="shared" si="9" ref="D26:I26">D29-D25</f>
        <v>2.292491004538432</v>
      </c>
      <c r="E26" s="348">
        <f t="shared" si="9"/>
        <v>2.7695687008519885</v>
      </c>
      <c r="F26" s="348">
        <f t="shared" si="9"/>
        <v>3.1098140060993735</v>
      </c>
      <c r="G26" s="348">
        <f t="shared" si="9"/>
        <v>4.316299556683967</v>
      </c>
      <c r="H26" s="348">
        <f t="shared" si="9"/>
        <v>3.9725857488950354</v>
      </c>
      <c r="I26" s="348">
        <f t="shared" si="9"/>
        <v>10.872454268627532</v>
      </c>
      <c r="K26" s="80"/>
      <c r="L26" s="80"/>
      <c r="M26" s="80"/>
      <c r="N26" s="80"/>
      <c r="O26" s="63"/>
      <c r="P26" s="61"/>
      <c r="Q26" s="61"/>
      <c r="R26" s="63"/>
      <c r="S26" s="81"/>
      <c r="T26" s="50"/>
      <c r="U26" s="44"/>
      <c r="V26" s="18" t="s">
        <v>15</v>
      </c>
      <c r="W26" s="19" t="s">
        <v>16</v>
      </c>
      <c r="X26" s="20" t="s">
        <v>17</v>
      </c>
      <c r="Y26" s="20" t="s">
        <v>18</v>
      </c>
      <c r="Z26" s="17"/>
      <c r="AA26" s="17"/>
      <c r="AB26" s="17"/>
      <c r="AC26" s="17"/>
      <c r="AD26" s="44"/>
    </row>
    <row r="27" spans="1:30" s="43" customFormat="1" ht="15.75" customHeight="1">
      <c r="A27" s="644">
        <v>14</v>
      </c>
      <c r="B27" s="653" t="s">
        <v>126</v>
      </c>
      <c r="C27" s="655"/>
      <c r="D27" s="650">
        <f aca="true" t="shared" si="10" ref="D27:I27">(D29-D25)/D25*100</f>
        <v>47.8515227011257</v>
      </c>
      <c r="E27" s="650">
        <f t="shared" si="10"/>
        <v>46.31051779236305</v>
      </c>
      <c r="F27" s="650">
        <f t="shared" si="10"/>
        <v>38.20323034915334</v>
      </c>
      <c r="G27" s="650">
        <f t="shared" si="10"/>
        <v>34.94875511186334</v>
      </c>
      <c r="H27" s="650">
        <f t="shared" si="10"/>
        <v>23.561148335804223</v>
      </c>
      <c r="I27" s="650">
        <f t="shared" si="10"/>
        <v>40.20251767219462</v>
      </c>
      <c r="K27" s="657" t="s">
        <v>119</v>
      </c>
      <c r="L27" s="657"/>
      <c r="M27" s="657"/>
      <c r="N27" s="657"/>
      <c r="O27" s="657"/>
      <c r="P27" s="657"/>
      <c r="Q27" s="657"/>
      <c r="R27" s="657"/>
      <c r="S27" s="657"/>
      <c r="T27" s="657"/>
      <c r="U27" s="44"/>
      <c r="V27" s="18" t="s">
        <v>229</v>
      </c>
      <c r="W27" s="18">
        <v>25</v>
      </c>
      <c r="X27" s="365">
        <v>1.9</v>
      </c>
      <c r="Y27" s="631">
        <f>W27/100*W28*X27/W29</f>
        <v>16.625</v>
      </c>
      <c r="Z27" s="17"/>
      <c r="AA27" s="17"/>
      <c r="AB27" s="17"/>
      <c r="AC27" s="17"/>
      <c r="AD27" s="44"/>
    </row>
    <row r="28" spans="1:30" s="43" customFormat="1" ht="15.75" customHeight="1">
      <c r="A28" s="645"/>
      <c r="B28" s="654"/>
      <c r="C28" s="656"/>
      <c r="D28" s="650"/>
      <c r="E28" s="650"/>
      <c r="F28" s="650"/>
      <c r="G28" s="650"/>
      <c r="H28" s="650"/>
      <c r="I28" s="650"/>
      <c r="K28" s="658" t="s">
        <v>120</v>
      </c>
      <c r="L28" s="658"/>
      <c r="M28" s="658"/>
      <c r="N28" s="658"/>
      <c r="O28" s="82" t="s">
        <v>2</v>
      </c>
      <c r="P28" s="44" t="s">
        <v>121</v>
      </c>
      <c r="Q28" s="44"/>
      <c r="R28" s="659" t="s">
        <v>122</v>
      </c>
      <c r="S28" s="659"/>
      <c r="T28" s="61" t="s">
        <v>121</v>
      </c>
      <c r="U28" s="44"/>
      <c r="V28" s="18" t="s">
        <v>22</v>
      </c>
      <c r="W28" s="564">
        <v>35</v>
      </c>
      <c r="X28" s="564"/>
      <c r="Y28" s="631"/>
      <c r="Z28" s="68"/>
      <c r="AA28" s="26"/>
      <c r="AB28" s="26"/>
      <c r="AC28" s="17"/>
      <c r="AD28" s="44"/>
    </row>
    <row r="29" spans="1:30" s="43" customFormat="1" ht="32.25" customHeight="1">
      <c r="A29" s="84">
        <v>15</v>
      </c>
      <c r="B29" s="85" t="s">
        <v>123</v>
      </c>
      <c r="C29" s="86"/>
      <c r="D29" s="380">
        <f aca="true" t="shared" si="11" ref="D29:I29">D31/1.2</f>
        <v>7.083333333333334</v>
      </c>
      <c r="E29" s="380">
        <f t="shared" si="11"/>
        <v>8.75</v>
      </c>
      <c r="F29" s="380">
        <f t="shared" si="11"/>
        <v>11.25</v>
      </c>
      <c r="G29" s="380">
        <f t="shared" si="11"/>
        <v>16.666666666666668</v>
      </c>
      <c r="H29" s="380">
        <f t="shared" si="11"/>
        <v>20.833333333333336</v>
      </c>
      <c r="I29" s="380">
        <f t="shared" si="11"/>
        <v>37.91666666666667</v>
      </c>
      <c r="K29" s="658"/>
      <c r="L29" s="658"/>
      <c r="M29" s="658"/>
      <c r="N29" s="658"/>
      <c r="O29" s="63" t="s">
        <v>11</v>
      </c>
      <c r="P29" s="63">
        <f>570/10000</f>
        <v>0.057</v>
      </c>
      <c r="Q29" s="61"/>
      <c r="R29" s="660" t="s">
        <v>93</v>
      </c>
      <c r="S29" s="660"/>
      <c r="T29" s="61"/>
      <c r="U29" s="44"/>
      <c r="V29" s="18" t="s">
        <v>24</v>
      </c>
      <c r="W29" s="565">
        <v>1</v>
      </c>
      <c r="X29" s="565"/>
      <c r="Y29" s="631"/>
      <c r="Z29" s="68">
        <f>W27/100*10*X27/W29</f>
        <v>4.75</v>
      </c>
      <c r="AA29" s="26"/>
      <c r="AB29" s="26"/>
      <c r="AC29" s="17"/>
      <c r="AD29" s="44"/>
    </row>
    <row r="30" spans="1:29" s="43" customFormat="1" ht="17.25" customHeight="1">
      <c r="A30" s="65">
        <v>16</v>
      </c>
      <c r="B30" s="66" t="s">
        <v>81</v>
      </c>
      <c r="C30" s="87">
        <v>20</v>
      </c>
      <c r="D30" s="348">
        <f>D29*C30/100</f>
        <v>1.416666666666667</v>
      </c>
      <c r="E30" s="348">
        <f>E29*C30/100</f>
        <v>1.75</v>
      </c>
      <c r="F30" s="348">
        <f>F29*C30/100</f>
        <v>2.25</v>
      </c>
      <c r="G30" s="348">
        <f>G29*C30/100</f>
        <v>3.333333333333334</v>
      </c>
      <c r="H30" s="348">
        <f>H29*C30/100</f>
        <v>4.166666666666668</v>
      </c>
      <c r="I30" s="376">
        <f>I29*C30/100</f>
        <v>7.583333333333335</v>
      </c>
      <c r="K30" s="658"/>
      <c r="L30" s="658"/>
      <c r="M30" s="658"/>
      <c r="N30" s="658"/>
      <c r="O30" s="63" t="s">
        <v>13</v>
      </c>
      <c r="P30" s="63">
        <f>1135/10000</f>
        <v>0.1135</v>
      </c>
      <c r="Q30" s="61"/>
      <c r="R30" s="661" t="s">
        <v>12</v>
      </c>
      <c r="S30" s="661"/>
      <c r="T30" s="351">
        <v>0.57</v>
      </c>
      <c r="U30" s="44"/>
      <c r="V30" s="18" t="s">
        <v>230</v>
      </c>
      <c r="W30" s="23">
        <v>0.022</v>
      </c>
      <c r="X30" s="367">
        <f>X8</f>
        <v>3.67</v>
      </c>
      <c r="Y30" s="368">
        <f>W27/100*W28*2*W30*X30/W29</f>
        <v>1.4129499999999997</v>
      </c>
      <c r="Z30" s="298">
        <f>W27/100*10*2*W30*X30/W29</f>
        <v>0.40369999999999995</v>
      </c>
      <c r="AC30" s="2"/>
    </row>
    <row r="31" spans="1:29" s="43" customFormat="1" ht="34.5" customHeight="1" thickBot="1">
      <c r="A31" s="269">
        <v>17</v>
      </c>
      <c r="B31" s="270" t="s">
        <v>124</v>
      </c>
      <c r="C31" s="271"/>
      <c r="D31" s="381">
        <v>8.5</v>
      </c>
      <c r="E31" s="381">
        <v>10.5</v>
      </c>
      <c r="F31" s="381">
        <v>13.5</v>
      </c>
      <c r="G31" s="381">
        <v>20</v>
      </c>
      <c r="H31" s="381">
        <v>25</v>
      </c>
      <c r="I31" s="382">
        <v>45.5</v>
      </c>
      <c r="K31" s="658"/>
      <c r="L31" s="658"/>
      <c r="M31" s="658"/>
      <c r="N31" s="658"/>
      <c r="O31" s="88" t="s">
        <v>125</v>
      </c>
      <c r="P31" s="88">
        <f>2270/10000</f>
        <v>0.227</v>
      </c>
      <c r="Q31" s="89"/>
      <c r="R31" s="662" t="s">
        <v>14</v>
      </c>
      <c r="S31" s="662"/>
      <c r="T31" s="351">
        <f>1135/10000</f>
        <v>0.1135</v>
      </c>
      <c r="U31" s="44"/>
      <c r="V31" s="25" t="s">
        <v>36</v>
      </c>
      <c r="W31" s="566">
        <v>11.08</v>
      </c>
      <c r="X31" s="566"/>
      <c r="Y31" s="566"/>
      <c r="AC31" s="2"/>
    </row>
    <row r="32" spans="2:29" s="43" customFormat="1" ht="15.75" customHeight="1">
      <c r="B32" s="277" t="s">
        <v>126</v>
      </c>
      <c r="C32" s="280"/>
      <c r="D32" s="278">
        <f aca="true" t="shared" si="12" ref="D32:I32">D26/D25*100</f>
        <v>47.8515227011257</v>
      </c>
      <c r="E32" s="278">
        <f t="shared" si="12"/>
        <v>46.31051779236305</v>
      </c>
      <c r="F32" s="278">
        <f>F26/F25*100</f>
        <v>38.20323034915334</v>
      </c>
      <c r="G32" s="278">
        <f t="shared" si="12"/>
        <v>34.94875511186334</v>
      </c>
      <c r="H32" s="278">
        <f t="shared" si="12"/>
        <v>23.561148335804223</v>
      </c>
      <c r="I32" s="278">
        <f t="shared" si="12"/>
        <v>40.20251767219462</v>
      </c>
      <c r="K32" s="658"/>
      <c r="L32" s="658"/>
      <c r="M32" s="658"/>
      <c r="N32" s="658"/>
      <c r="O32" s="89"/>
      <c r="P32" s="89"/>
      <c r="Q32" s="89"/>
      <c r="R32" s="662" t="s">
        <v>20</v>
      </c>
      <c r="S32" s="662"/>
      <c r="T32" s="351">
        <f>1703/10000</f>
        <v>0.1703</v>
      </c>
      <c r="U32" s="44"/>
      <c r="V32" s="28" t="s">
        <v>40</v>
      </c>
      <c r="W32" s="566">
        <f>W10</f>
        <v>19.36</v>
      </c>
      <c r="X32" s="566"/>
      <c r="Y32" s="566"/>
      <c r="AC32" s="2"/>
    </row>
    <row r="33" spans="2:29" ht="20.25" thickBot="1">
      <c r="B33" s="719" t="s">
        <v>200</v>
      </c>
      <c r="C33" s="719"/>
      <c r="D33" s="719"/>
      <c r="E33" s="719"/>
      <c r="F33" s="719"/>
      <c r="G33" s="719"/>
      <c r="H33" s="719"/>
      <c r="I33" s="719"/>
      <c r="K33" s="62"/>
      <c r="L33" s="90"/>
      <c r="M33" s="90"/>
      <c r="N33" s="63"/>
      <c r="O33" s="89"/>
      <c r="P33" s="89"/>
      <c r="Q33" s="89"/>
      <c r="R33" s="662" t="s">
        <v>21</v>
      </c>
      <c r="S33" s="662"/>
      <c r="T33" s="351">
        <f>2270/10000</f>
        <v>0.227</v>
      </c>
      <c r="V33" s="39" t="str">
        <f>V11</f>
        <v>Прочие</v>
      </c>
      <c r="W33" s="641">
        <f>W11</f>
        <v>4.93</v>
      </c>
      <c r="X33" s="641"/>
      <c r="Y33" s="641"/>
      <c r="AC33" s="2"/>
    </row>
    <row r="34" spans="1:29" ht="15.75">
      <c r="A34" s="289">
        <v>18</v>
      </c>
      <c r="B34" s="292" t="s">
        <v>133</v>
      </c>
      <c r="C34" s="283"/>
      <c r="D34" s="385">
        <f>O148</f>
        <v>0.43237351835872057</v>
      </c>
      <c r="E34" s="385">
        <f>P148</f>
        <v>0.5764980244782941</v>
      </c>
      <c r="F34" s="385">
        <f>Q148</f>
        <v>1.3645807033150685</v>
      </c>
      <c r="G34" s="385">
        <f>R148</f>
        <v>2.702334489742004</v>
      </c>
      <c r="H34" s="385">
        <f>S148</f>
        <v>7.206225305978676</v>
      </c>
      <c r="I34" s="13"/>
      <c r="J34" s="13"/>
      <c r="K34" s="62"/>
      <c r="L34" s="90"/>
      <c r="M34" s="90"/>
      <c r="N34" s="63"/>
      <c r="O34" s="89"/>
      <c r="P34" s="89"/>
      <c r="Q34" s="89"/>
      <c r="R34" s="662" t="s">
        <v>23</v>
      </c>
      <c r="S34" s="662"/>
      <c r="T34" s="351">
        <f>2270/10000</f>
        <v>0.227</v>
      </c>
      <c r="V34" s="25" t="s">
        <v>46</v>
      </c>
      <c r="W34" s="665">
        <f>Y27+Y30+W31+W32+W33</f>
        <v>53.40795</v>
      </c>
      <c r="X34" s="665"/>
      <c r="Y34" s="665"/>
      <c r="Z34" s="111">
        <f>Z29+Z30+W31+W32</f>
        <v>35.5937</v>
      </c>
      <c r="AC34" s="2"/>
    </row>
    <row r="35" spans="1:29" ht="15.75">
      <c r="A35" s="290">
        <v>19</v>
      </c>
      <c r="B35" s="285" t="s">
        <v>127</v>
      </c>
      <c r="C35" s="94"/>
      <c r="D35" s="386">
        <f>D36-D29-D34</f>
        <v>1.2342931483079456</v>
      </c>
      <c r="E35" s="386">
        <f>E36-E29-E34</f>
        <v>1.0901686421883738</v>
      </c>
      <c r="F35" s="386">
        <f>F36-F29-F34</f>
        <v>1.5520859633515993</v>
      </c>
      <c r="G35" s="386">
        <f>G36-G29-G34</f>
        <v>3.547665510257996</v>
      </c>
      <c r="H35" s="386">
        <f>H36-H29-H34</f>
        <v>1.127108027354656</v>
      </c>
      <c r="I35" s="13"/>
      <c r="J35" s="13"/>
      <c r="K35" s="315" t="s">
        <v>232</v>
      </c>
      <c r="L35" s="90"/>
      <c r="M35" s="90"/>
      <c r="N35" s="63"/>
      <c r="O35" s="89"/>
      <c r="P35" s="89"/>
      <c r="Q35" s="89"/>
      <c r="R35" s="662" t="s">
        <v>29</v>
      </c>
      <c r="S35" s="662"/>
      <c r="T35" s="352">
        <f>2270/10000</f>
        <v>0.227</v>
      </c>
      <c r="AC35" s="2"/>
    </row>
    <row r="36" spans="1:29" ht="15.75">
      <c r="A36" s="290">
        <v>20</v>
      </c>
      <c r="B36" s="285" t="s">
        <v>82</v>
      </c>
      <c r="C36" s="94"/>
      <c r="D36" s="386">
        <f>D38/1.2</f>
        <v>8.75</v>
      </c>
      <c r="E36" s="386">
        <f>E38/1.2</f>
        <v>10.416666666666668</v>
      </c>
      <c r="F36" s="386">
        <f>F38/1.2</f>
        <v>14.166666666666668</v>
      </c>
      <c r="G36" s="386">
        <f>G38/1.2</f>
        <v>22.916666666666668</v>
      </c>
      <c r="H36" s="387">
        <f>H38/1.2</f>
        <v>29.166666666666668</v>
      </c>
      <c r="I36" s="13"/>
      <c r="J36" s="13"/>
      <c r="K36" s="92" t="s">
        <v>128</v>
      </c>
      <c r="L36" s="92"/>
      <c r="M36" s="92"/>
      <c r="N36" s="92"/>
      <c r="O36" s="314" t="s">
        <v>253</v>
      </c>
      <c r="P36" s="61" t="s">
        <v>129</v>
      </c>
      <c r="Q36" s="61"/>
      <c r="R36" s="61"/>
      <c r="S36" s="61"/>
      <c r="AC36" s="2"/>
    </row>
    <row r="37" spans="1:29" ht="15.75">
      <c r="A37" s="290">
        <v>21</v>
      </c>
      <c r="B37" s="285" t="s">
        <v>81</v>
      </c>
      <c r="C37" s="95">
        <v>0.2</v>
      </c>
      <c r="D37" s="386">
        <f>D38-D36</f>
        <v>1.75</v>
      </c>
      <c r="E37" s="386">
        <f>E38-E36</f>
        <v>2.083333333333332</v>
      </c>
      <c r="F37" s="386">
        <f>F38-F36</f>
        <v>2.833333333333332</v>
      </c>
      <c r="G37" s="386">
        <f>G38-G36</f>
        <v>4.583333333333332</v>
      </c>
      <c r="H37" s="387">
        <f>H38-H36</f>
        <v>5.833333333333332</v>
      </c>
      <c r="I37" s="13"/>
      <c r="J37" s="13"/>
      <c r="K37" s="96" t="s">
        <v>219</v>
      </c>
      <c r="L37" s="96"/>
      <c r="M37" s="96"/>
      <c r="N37" s="96"/>
      <c r="O37" s="96"/>
      <c r="P37" s="96"/>
      <c r="Q37" s="96"/>
      <c r="R37" s="96"/>
      <c r="S37" s="97"/>
      <c r="T37" s="98"/>
      <c r="V37" s="55" t="s">
        <v>110</v>
      </c>
      <c r="W37" s="523" t="s">
        <v>39</v>
      </c>
      <c r="X37" s="523"/>
      <c r="Y37" s="83" t="s">
        <v>50</v>
      </c>
      <c r="Z37" s="83" t="s">
        <v>50</v>
      </c>
      <c r="AC37" s="2"/>
    </row>
    <row r="38" spans="1:29" ht="15.75">
      <c r="A38" s="290">
        <v>22</v>
      </c>
      <c r="B38" s="286" t="s">
        <v>84</v>
      </c>
      <c r="C38" s="94"/>
      <c r="D38" s="388">
        <f>D40</f>
        <v>10.5</v>
      </c>
      <c r="E38" s="388">
        <f>E40</f>
        <v>12.5</v>
      </c>
      <c r="F38" s="388">
        <f>F40</f>
        <v>17</v>
      </c>
      <c r="G38" s="388">
        <f>G40</f>
        <v>27.5</v>
      </c>
      <c r="H38" s="389">
        <f>H40</f>
        <v>35</v>
      </c>
      <c r="I38" s="99"/>
      <c r="J38" s="13"/>
      <c r="K38" s="100"/>
      <c r="L38" s="101"/>
      <c r="M38" s="598" t="s">
        <v>42</v>
      </c>
      <c r="N38" s="598"/>
      <c r="O38" s="598"/>
      <c r="P38" s="598"/>
      <c r="Q38" s="598"/>
      <c r="R38" s="598"/>
      <c r="V38" s="27" t="s">
        <v>12</v>
      </c>
      <c r="W38" s="58">
        <v>200</v>
      </c>
      <c r="X38" s="17"/>
      <c r="Y38" s="366">
        <f>W34/W38</f>
        <v>0.26703975</v>
      </c>
      <c r="Z38" s="366">
        <f>$Z$34/W38</f>
        <v>0.1779685</v>
      </c>
      <c r="AC38" s="2"/>
    </row>
    <row r="39" spans="1:29" ht="15.75">
      <c r="A39" s="290">
        <v>23</v>
      </c>
      <c r="B39" s="287"/>
      <c r="C39" s="95"/>
      <c r="D39" s="268"/>
      <c r="E39" s="268"/>
      <c r="F39" s="268"/>
      <c r="G39" s="268"/>
      <c r="H39" s="284"/>
      <c r="I39" s="102"/>
      <c r="J39" s="13"/>
      <c r="K39" s="103"/>
      <c r="L39" s="104"/>
      <c r="M39" s="105" t="s">
        <v>52</v>
      </c>
      <c r="N39" s="105" t="s">
        <v>130</v>
      </c>
      <c r="O39" s="105" t="s">
        <v>31</v>
      </c>
      <c r="P39" s="105" t="s">
        <v>32</v>
      </c>
      <c r="Q39" s="105" t="s">
        <v>33</v>
      </c>
      <c r="R39" s="105" t="s">
        <v>107</v>
      </c>
      <c r="V39" s="27" t="s">
        <v>14</v>
      </c>
      <c r="W39" s="58">
        <v>150</v>
      </c>
      <c r="X39" s="17"/>
      <c r="Y39" s="366">
        <f>W34/W39</f>
        <v>0.356053</v>
      </c>
      <c r="Z39" s="366">
        <f>$Z$34/W39</f>
        <v>0.23729133333333333</v>
      </c>
      <c r="AC39" s="2"/>
    </row>
    <row r="40" spans="1:29" ht="20.25" thickBot="1">
      <c r="A40" s="291">
        <v>24</v>
      </c>
      <c r="B40" s="288" t="s">
        <v>201</v>
      </c>
      <c r="C40" s="272"/>
      <c r="D40" s="383">
        <v>10.5</v>
      </c>
      <c r="E40" s="383">
        <v>12.5</v>
      </c>
      <c r="F40" s="383">
        <v>17</v>
      </c>
      <c r="G40" s="383">
        <v>27.5</v>
      </c>
      <c r="H40" s="384">
        <v>35</v>
      </c>
      <c r="I40" s="106"/>
      <c r="K40" s="107" t="s">
        <v>60</v>
      </c>
      <c r="L40" s="105"/>
      <c r="M40" s="353">
        <f>O36/N5</f>
        <v>0.09733333333333333</v>
      </c>
      <c r="N40" s="353">
        <f>O36/N6</f>
        <v>0.146</v>
      </c>
      <c r="O40" s="353">
        <f>O36/N7</f>
        <v>0.19466666666666665</v>
      </c>
      <c r="P40" s="353">
        <f>O36/N8</f>
        <v>0.26545454545454544</v>
      </c>
      <c r="Q40" s="353">
        <f>O36/N9</f>
        <v>0.365</v>
      </c>
      <c r="R40" s="353">
        <f>O36/N10</f>
        <v>0.584</v>
      </c>
      <c r="V40" s="27" t="s">
        <v>20</v>
      </c>
      <c r="W40" s="108">
        <v>100</v>
      </c>
      <c r="X40" s="68"/>
      <c r="Y40" s="366">
        <f>W34/W40</f>
        <v>0.5340795</v>
      </c>
      <c r="Z40" s="366">
        <f>$Z$34/W40</f>
        <v>0.355937</v>
      </c>
      <c r="AC40" s="2"/>
    </row>
    <row r="41" spans="2:29" ht="15.75">
      <c r="B41" s="426" t="s">
        <v>131</v>
      </c>
      <c r="C41" s="427"/>
      <c r="D41" s="428">
        <f>D35/D29</f>
        <v>0.174253150349357</v>
      </c>
      <c r="E41" s="428">
        <f>E35/E29</f>
        <v>0.12459070196438558</v>
      </c>
      <c r="F41" s="428">
        <f>F35/F29</f>
        <v>0.13796319674236437</v>
      </c>
      <c r="G41" s="428">
        <f>G35/G29</f>
        <v>0.21285993061547975</v>
      </c>
      <c r="H41" s="428">
        <f>H35/H29</f>
        <v>0.054101185313023485</v>
      </c>
      <c r="I41" s="109"/>
      <c r="K41" s="107" t="s">
        <v>132</v>
      </c>
      <c r="L41" s="110">
        <v>0.5</v>
      </c>
      <c r="M41" s="353">
        <f>M40*L41</f>
        <v>0.048666666666666664</v>
      </c>
      <c r="N41" s="353">
        <f>N40*L41</f>
        <v>0.073</v>
      </c>
      <c r="O41" s="353">
        <f>O40*L41</f>
        <v>0.09733333333333333</v>
      </c>
      <c r="P41" s="353">
        <f>P40*L41</f>
        <v>0.13272727272727272</v>
      </c>
      <c r="Q41" s="353">
        <f>Q40*L41</f>
        <v>0.1825</v>
      </c>
      <c r="R41" s="353">
        <f>R40*L41</f>
        <v>0.292</v>
      </c>
      <c r="V41" s="27" t="s">
        <v>21</v>
      </c>
      <c r="W41" s="108">
        <v>32</v>
      </c>
      <c r="X41" s="68"/>
      <c r="Y41" s="366">
        <f>W34/W41</f>
        <v>1.6689984375</v>
      </c>
      <c r="Z41" s="366">
        <f>$Z$34/W41</f>
        <v>1.112303125</v>
      </c>
      <c r="AC41" s="2"/>
    </row>
    <row r="42" spans="1:29" ht="20.25" thickBot="1">
      <c r="A42" s="716" t="s">
        <v>199</v>
      </c>
      <c r="B42" s="716"/>
      <c r="C42" s="716"/>
      <c r="D42" s="716"/>
      <c r="E42" s="716"/>
      <c r="F42" s="716"/>
      <c r="G42" s="716"/>
      <c r="H42" s="716"/>
      <c r="K42" s="107" t="s">
        <v>34</v>
      </c>
      <c r="L42" s="105"/>
      <c r="M42" s="353">
        <f>$P$13*1.3*0.0014*8/N$5</f>
        <v>0.016986666666666664</v>
      </c>
      <c r="N42" s="353">
        <f>$P$13*1.3*0.0014*8/N$6</f>
        <v>0.025479999999999996</v>
      </c>
      <c r="O42" s="353">
        <f>$P$13*1.3*0.0014*8/N$7</f>
        <v>0.03397333333333333</v>
      </c>
      <c r="P42" s="353">
        <f>$P$13*1.3*0.0014*8/N$8</f>
        <v>0.046327272727272724</v>
      </c>
      <c r="Q42" s="353">
        <f>$P$13*1.3*0.0014*8/N$9</f>
        <v>0.06369999999999999</v>
      </c>
      <c r="R42" s="353">
        <f>$P$13*1.3*0.0014*8/N10</f>
        <v>0.10191999999999998</v>
      </c>
      <c r="V42" s="27" t="s">
        <v>23</v>
      </c>
      <c r="W42" s="108">
        <v>12</v>
      </c>
      <c r="X42" s="68"/>
      <c r="Y42" s="366">
        <f>W34/W42</f>
        <v>4.4506625</v>
      </c>
      <c r="Z42" s="366">
        <f>$Z$34/W42</f>
        <v>2.9661416666666667</v>
      </c>
      <c r="AC42" s="2"/>
    </row>
    <row r="43" spans="1:29" ht="15.75">
      <c r="A43" s="295">
        <v>25</v>
      </c>
      <c r="B43" s="292" t="s">
        <v>133</v>
      </c>
      <c r="C43" s="91"/>
      <c r="D43" s="385">
        <f>O134</f>
        <v>1.0288202933587207</v>
      </c>
      <c r="E43" s="385">
        <f>P134</f>
        <v>1.9058398911449608</v>
      </c>
      <c r="F43" s="385">
        <f>Q134</f>
        <v>3.6064711367174414</v>
      </c>
      <c r="G43" s="385">
        <f>R134</f>
        <v>7.681875661617004</v>
      </c>
      <c r="H43" s="390">
        <f>S134</f>
        <v>12.69634238931201</v>
      </c>
      <c r="I43" s="111"/>
      <c r="K43" s="107" t="s">
        <v>65</v>
      </c>
      <c r="L43" s="112">
        <v>1.7</v>
      </c>
      <c r="M43" s="353">
        <f>(M40+M41)*$L$43</f>
        <v>0.24819999999999998</v>
      </c>
      <c r="N43" s="353">
        <f>(N40+N42)*$L$43</f>
        <v>0.291516</v>
      </c>
      <c r="O43" s="353">
        <f>(O40+O42)*$L$43</f>
        <v>0.388688</v>
      </c>
      <c r="P43" s="353">
        <f>(P40+P42)*$L$43</f>
        <v>0.5300290909090909</v>
      </c>
      <c r="Q43" s="353">
        <f>(Q40+Q42)*$L$43</f>
        <v>0.7287899999999999</v>
      </c>
      <c r="R43" s="353">
        <f>(R40+R42)*$L$43</f>
        <v>1.166064</v>
      </c>
      <c r="V43" s="27"/>
      <c r="W43" s="108"/>
      <c r="X43" s="68"/>
      <c r="Y43" s="59"/>
      <c r="AC43" s="2"/>
    </row>
    <row r="44" spans="1:26" ht="15.75">
      <c r="A44" s="296">
        <v>26</v>
      </c>
      <c r="B44" s="293" t="s">
        <v>134</v>
      </c>
      <c r="C44" s="113"/>
      <c r="D44" s="386">
        <f>D45-D29-D43</f>
        <v>1.0545130399746132</v>
      </c>
      <c r="E44" s="386">
        <f>E45-E29-E43</f>
        <v>1.010826775521707</v>
      </c>
      <c r="F44" s="386">
        <f>F45-F29-F43</f>
        <v>1.8101955299492265</v>
      </c>
      <c r="G44" s="386">
        <f>G45-G29-G43</f>
        <v>1.4847910050496642</v>
      </c>
      <c r="H44" s="387">
        <f>H45-H29-H43</f>
        <v>0.6369909440213259</v>
      </c>
      <c r="I44" s="111"/>
      <c r="K44" s="107" t="s">
        <v>68</v>
      </c>
      <c r="L44" s="325">
        <v>0.1</v>
      </c>
      <c r="M44" s="353">
        <f aca="true" t="shared" si="13" ref="M44:R44">(M40+M41)*$L$44</f>
        <v>0.0146</v>
      </c>
      <c r="N44" s="353">
        <f t="shared" si="13"/>
        <v>0.0219</v>
      </c>
      <c r="O44" s="353">
        <f t="shared" si="13"/>
        <v>0.0292</v>
      </c>
      <c r="P44" s="353">
        <f t="shared" si="13"/>
        <v>0.03981818181818182</v>
      </c>
      <c r="Q44" s="353">
        <f t="shared" si="13"/>
        <v>0.05475</v>
      </c>
      <c r="R44" s="353">
        <f t="shared" si="13"/>
        <v>0.0876</v>
      </c>
      <c r="V44" s="114" t="s">
        <v>217</v>
      </c>
      <c r="W44" s="115"/>
      <c r="X44" s="115"/>
      <c r="Y44" s="115"/>
      <c r="Z44" s="115"/>
    </row>
    <row r="45" spans="1:26" ht="15.75" customHeight="1">
      <c r="A45" s="296">
        <v>27</v>
      </c>
      <c r="B45" s="293" t="s">
        <v>82</v>
      </c>
      <c r="C45" s="93"/>
      <c r="D45" s="386">
        <f>D47/1.2</f>
        <v>9.166666666666668</v>
      </c>
      <c r="E45" s="386">
        <f>E47/1.2</f>
        <v>11.666666666666668</v>
      </c>
      <c r="F45" s="386">
        <f>F47/1.2</f>
        <v>16.666666666666668</v>
      </c>
      <c r="G45" s="386">
        <f>G47/1.2</f>
        <v>25.833333333333336</v>
      </c>
      <c r="H45" s="387">
        <f>H47/1.2</f>
        <v>34.16666666666667</v>
      </c>
      <c r="I45" s="111"/>
      <c r="K45" s="107" t="s">
        <v>83</v>
      </c>
      <c r="L45" s="112"/>
      <c r="M45" s="353"/>
      <c r="N45" s="353"/>
      <c r="O45" s="353"/>
      <c r="P45" s="353"/>
      <c r="Q45" s="353"/>
      <c r="R45" s="353"/>
      <c r="V45" s="18" t="s">
        <v>15</v>
      </c>
      <c r="W45" s="19" t="s">
        <v>16</v>
      </c>
      <c r="X45" s="20" t="s">
        <v>17</v>
      </c>
      <c r="Y45" s="20" t="s">
        <v>18</v>
      </c>
      <c r="Z45" s="115"/>
    </row>
    <row r="46" spans="1:26" ht="15.75">
      <c r="A46" s="296">
        <v>28</v>
      </c>
      <c r="B46" s="293" t="s">
        <v>81</v>
      </c>
      <c r="C46" s="113">
        <v>0.2</v>
      </c>
      <c r="D46" s="386">
        <f>D47-D45</f>
        <v>1.8333333333333321</v>
      </c>
      <c r="E46" s="386">
        <f>E47-E45</f>
        <v>2.333333333333332</v>
      </c>
      <c r="F46" s="386">
        <f>F47-F45</f>
        <v>3.333333333333332</v>
      </c>
      <c r="G46" s="386">
        <f>G47-G45</f>
        <v>5.166666666666664</v>
      </c>
      <c r="H46" s="387">
        <f>H47-H45</f>
        <v>6.833333333333329</v>
      </c>
      <c r="K46" s="107" t="s">
        <v>74</v>
      </c>
      <c r="L46" s="112">
        <v>0.1</v>
      </c>
      <c r="M46" s="353">
        <f aca="true" t="shared" si="14" ref="M46:R46">(M40+M41+M42+M43+M44+M45)*((28*3+28)/(365*3))</f>
        <v>0.04355078234398782</v>
      </c>
      <c r="N46" s="353">
        <f t="shared" si="14"/>
        <v>0.05706333515981735</v>
      </c>
      <c r="O46" s="353">
        <f t="shared" si="14"/>
        <v>0.07608444687975648</v>
      </c>
      <c r="P46" s="353">
        <f t="shared" si="14"/>
        <v>0.10375151847239518</v>
      </c>
      <c r="Q46" s="353">
        <f t="shared" si="14"/>
        <v>0.14265833789954338</v>
      </c>
      <c r="R46" s="353">
        <f t="shared" si="14"/>
        <v>0.2282533406392694</v>
      </c>
      <c r="V46" s="39" t="s">
        <v>85</v>
      </c>
      <c r="W46" s="116">
        <v>41.2</v>
      </c>
      <c r="X46" s="369">
        <v>1.22</v>
      </c>
      <c r="Y46" s="631">
        <f>W46/100*W48*X46/W47</f>
        <v>1.1728266666666667</v>
      </c>
      <c r="Z46" s="115"/>
    </row>
    <row r="47" spans="1:26" ht="15.75" customHeight="1">
      <c r="A47" s="296">
        <v>29</v>
      </c>
      <c r="B47" s="293" t="s">
        <v>84</v>
      </c>
      <c r="C47" s="93"/>
      <c r="D47" s="386">
        <f>D49</f>
        <v>11</v>
      </c>
      <c r="E47" s="386">
        <f>E49</f>
        <v>14</v>
      </c>
      <c r="F47" s="386">
        <f>F49</f>
        <v>20</v>
      </c>
      <c r="G47" s="386">
        <f>G49</f>
        <v>31</v>
      </c>
      <c r="H47" s="387">
        <f>H49</f>
        <v>41</v>
      </c>
      <c r="K47" s="107" t="s">
        <v>78</v>
      </c>
      <c r="L47" s="105"/>
      <c r="M47" s="354">
        <f aca="true" t="shared" si="15" ref="M47:R47">SUM(M40:M46)</f>
        <v>0.46933744901065444</v>
      </c>
      <c r="N47" s="354">
        <f>SUM(N40:N46)</f>
        <v>0.6149593351598173</v>
      </c>
      <c r="O47" s="354">
        <f t="shared" si="15"/>
        <v>0.8199457802130898</v>
      </c>
      <c r="P47" s="354">
        <f t="shared" si="15"/>
        <v>1.1181078821087587</v>
      </c>
      <c r="Q47" s="354">
        <f t="shared" si="15"/>
        <v>1.5373983378995433</v>
      </c>
      <c r="R47" s="354">
        <f t="shared" si="15"/>
        <v>2.459837340639269</v>
      </c>
      <c r="V47" s="39" t="s">
        <v>86</v>
      </c>
      <c r="W47" s="664">
        <v>15</v>
      </c>
      <c r="X47" s="664"/>
      <c r="Y47" s="631"/>
      <c r="Z47" s="115"/>
    </row>
    <row r="48" spans="1:26" ht="15.75" customHeight="1">
      <c r="A48" s="296">
        <v>30</v>
      </c>
      <c r="B48" s="293"/>
      <c r="C48" s="113"/>
      <c r="D48" s="386"/>
      <c r="E48" s="386"/>
      <c r="F48" s="386"/>
      <c r="G48" s="386"/>
      <c r="H48" s="387"/>
      <c r="O48" s="13"/>
      <c r="P48" s="13"/>
      <c r="Q48" s="13"/>
      <c r="R48" s="13"/>
      <c r="V48" s="39" t="s">
        <v>87</v>
      </c>
      <c r="W48" s="663">
        <v>35</v>
      </c>
      <c r="X48" s="663"/>
      <c r="Y48" s="631"/>
      <c r="Z48" s="115"/>
    </row>
    <row r="49" spans="1:26" ht="26.25" thickBot="1">
      <c r="A49" s="297">
        <v>31</v>
      </c>
      <c r="B49" s="294" t="s">
        <v>201</v>
      </c>
      <c r="C49" s="273"/>
      <c r="D49" s="429">
        <v>11</v>
      </c>
      <c r="E49" s="429">
        <v>14</v>
      </c>
      <c r="F49" s="429">
        <v>20</v>
      </c>
      <c r="G49" s="429">
        <v>31</v>
      </c>
      <c r="H49" s="430">
        <v>41</v>
      </c>
      <c r="K49" s="100"/>
      <c r="L49" s="101"/>
      <c r="M49" s="598" t="s">
        <v>43</v>
      </c>
      <c r="N49" s="598"/>
      <c r="O49" s="598"/>
      <c r="P49" s="598"/>
      <c r="Q49" s="598"/>
      <c r="R49" s="598"/>
      <c r="V49" s="117" t="s">
        <v>88</v>
      </c>
      <c r="W49" s="664">
        <v>0.45</v>
      </c>
      <c r="X49" s="664"/>
      <c r="Y49" s="631"/>
      <c r="Z49" s="115"/>
    </row>
    <row r="50" spans="2:26" ht="15.75">
      <c r="B50" s="318" t="s">
        <v>208</v>
      </c>
      <c r="C50" s="279"/>
      <c r="D50" s="425">
        <f>D44/D29*100</f>
        <v>14.887242917288656</v>
      </c>
      <c r="E50" s="425">
        <f>E44/E29*100</f>
        <v>11.552306005962366</v>
      </c>
      <c r="F50" s="425">
        <f>F44/F29*100</f>
        <v>16.090626932882014</v>
      </c>
      <c r="G50" s="425">
        <f>G44/G29*100</f>
        <v>8.908746030297984</v>
      </c>
      <c r="H50" s="425">
        <f>H44/H29*100</f>
        <v>3.0575565313023643</v>
      </c>
      <c r="K50" s="103"/>
      <c r="L50" s="104"/>
      <c r="M50" s="105" t="s">
        <v>52</v>
      </c>
      <c r="N50" s="105" t="s">
        <v>130</v>
      </c>
      <c r="O50" s="105" t="s">
        <v>31</v>
      </c>
      <c r="P50" s="105" t="s">
        <v>32</v>
      </c>
      <c r="Q50" s="105" t="s">
        <v>33</v>
      </c>
      <c r="R50" s="105" t="s">
        <v>107</v>
      </c>
      <c r="V50" s="18" t="s">
        <v>89</v>
      </c>
      <c r="W50" s="23">
        <v>0.028</v>
      </c>
      <c r="X50" s="367">
        <f>X30</f>
        <v>3.67</v>
      </c>
      <c r="Y50" s="372">
        <f>(W46/100*W48*2+W49)*W50*X50/W47</f>
        <v>0.20065602666666668</v>
      </c>
      <c r="Z50" s="115"/>
    </row>
    <row r="51" spans="2:26" ht="18.75">
      <c r="B51" s="118"/>
      <c r="C51" s="119"/>
      <c r="K51" s="107" t="s">
        <v>60</v>
      </c>
      <c r="L51" s="105"/>
      <c r="M51" s="353">
        <f>$Q$21/P$5</f>
        <v>0.008357142857142858</v>
      </c>
      <c r="N51" s="353">
        <f>Q21/P6</f>
        <v>0.0124468085106383</v>
      </c>
      <c r="O51" s="353">
        <f>Q21/P7</f>
        <v>0.016714285714285716</v>
      </c>
      <c r="P51" s="353">
        <f>Q21/P8</f>
        <v>0.022500000000000003</v>
      </c>
      <c r="Q51" s="353">
        <f>Q21/P9</f>
        <v>0.03078947368421053</v>
      </c>
      <c r="R51" s="353">
        <f>Q21/P10</f>
        <v>0.03078947368421053</v>
      </c>
      <c r="V51" s="712" t="s">
        <v>36</v>
      </c>
      <c r="W51" s="712"/>
      <c r="X51" s="713"/>
      <c r="Y51" s="347">
        <f>134.03+30.23</f>
        <v>164.26</v>
      </c>
      <c r="Z51" s="115"/>
    </row>
    <row r="52" spans="2:26" ht="19.5" thickBot="1">
      <c r="B52" s="118"/>
      <c r="C52" s="119"/>
      <c r="K52" s="107" t="s">
        <v>132</v>
      </c>
      <c r="L52" s="110">
        <v>0.5</v>
      </c>
      <c r="M52" s="353">
        <f>M51*L52</f>
        <v>0.004178571428571429</v>
      </c>
      <c r="N52" s="353">
        <f>N51*L52</f>
        <v>0.00622340425531915</v>
      </c>
      <c r="O52" s="353">
        <f>O51*L52</f>
        <v>0.008357142857142858</v>
      </c>
      <c r="P52" s="353">
        <f>P51*L52</f>
        <v>0.011250000000000001</v>
      </c>
      <c r="Q52" s="353">
        <f>Q51*L52</f>
        <v>0.015394736842105265</v>
      </c>
      <c r="R52" s="353">
        <f>R51*L52</f>
        <v>0.015394736842105265</v>
      </c>
      <c r="V52" s="714" t="s">
        <v>40</v>
      </c>
      <c r="W52" s="714"/>
      <c r="X52" s="715"/>
      <c r="Y52" s="347">
        <f>31.79+10.81+0.21</f>
        <v>42.81</v>
      </c>
      <c r="Z52" s="115"/>
    </row>
    <row r="53" spans="2:26" ht="19.5" thickBot="1">
      <c r="B53" s="118" t="s">
        <v>255</v>
      </c>
      <c r="C53" s="119"/>
      <c r="D53" s="522"/>
      <c r="E53" s="522"/>
      <c r="G53" s="423" t="s">
        <v>244</v>
      </c>
      <c r="H53" s="423"/>
      <c r="K53" s="107" t="s">
        <v>34</v>
      </c>
      <c r="L53" s="105"/>
      <c r="M53" s="353">
        <f>$P$13*1.3*0.0014*8/P$5</f>
        <v>0.0014559999999999998</v>
      </c>
      <c r="N53" s="353">
        <f>$P$13*1.3*0.0014*8/P$6</f>
        <v>0.0021685106382978723</v>
      </c>
      <c r="O53" s="353">
        <f>$P$13*1.3*0.0014*8/P$7</f>
        <v>0.0029119999999999997</v>
      </c>
      <c r="P53" s="353">
        <f>$P$13*1.3*0.0014*8/P$8</f>
        <v>0.00392</v>
      </c>
      <c r="Q53" s="353">
        <f>$P$13*1.3*0.0014*8/P$9</f>
        <v>0.005364210526315789</v>
      </c>
      <c r="R53" s="353">
        <f>$P$13*1.3*0.0014*8/P10</f>
        <v>0.005364210526315789</v>
      </c>
      <c r="V53" s="664" t="str">
        <f>V33</f>
        <v>Прочие</v>
      </c>
      <c r="W53" s="664"/>
      <c r="X53" s="711"/>
      <c r="Y53" s="321">
        <f>87.54+4.98</f>
        <v>92.52000000000001</v>
      </c>
      <c r="Z53" s="373">
        <f>Y46+Y50+Y51+Y52+Y53</f>
        <v>300.96348269333333</v>
      </c>
    </row>
    <row r="54" spans="11:18" ht="12.75">
      <c r="K54" s="107" t="s">
        <v>65</v>
      </c>
      <c r="L54" s="112">
        <f>L43</f>
        <v>1.7</v>
      </c>
      <c r="M54" s="353">
        <f aca="true" t="shared" si="16" ref="M54:R54">(M51+M52)*$L$54</f>
        <v>0.021310714285714287</v>
      </c>
      <c r="N54" s="353">
        <f t="shared" si="16"/>
        <v>0.03173936170212766</v>
      </c>
      <c r="O54" s="353">
        <f t="shared" si="16"/>
        <v>0.042621428571428574</v>
      </c>
      <c r="P54" s="353">
        <f t="shared" si="16"/>
        <v>0.057375</v>
      </c>
      <c r="Q54" s="353">
        <f t="shared" si="16"/>
        <v>0.07851315789473684</v>
      </c>
      <c r="R54" s="353">
        <f t="shared" si="16"/>
        <v>0.07851315789473684</v>
      </c>
    </row>
    <row r="55" spans="11:18" ht="12.75">
      <c r="K55" s="107" t="s">
        <v>68</v>
      </c>
      <c r="L55" s="325">
        <v>0.1</v>
      </c>
      <c r="M55" s="353">
        <f aca="true" t="shared" si="17" ref="M55:R55">(M51+M52)*$L$55</f>
        <v>0.0012535714285714288</v>
      </c>
      <c r="N55" s="353">
        <f t="shared" si="17"/>
        <v>0.001867021276595745</v>
      </c>
      <c r="O55" s="353">
        <f t="shared" si="17"/>
        <v>0.0025071428571428575</v>
      </c>
      <c r="P55" s="353">
        <f t="shared" si="17"/>
        <v>0.0033750000000000004</v>
      </c>
      <c r="Q55" s="353">
        <f t="shared" si="17"/>
        <v>0.00461842105263158</v>
      </c>
      <c r="R55" s="353">
        <f t="shared" si="17"/>
        <v>0.00461842105263158</v>
      </c>
    </row>
    <row r="56" spans="11:22" ht="12.75">
      <c r="K56" s="107" t="s">
        <v>83</v>
      </c>
      <c r="L56" s="112"/>
      <c r="M56" s="353"/>
      <c r="N56" s="353"/>
      <c r="O56" s="353"/>
      <c r="P56" s="353"/>
      <c r="Q56" s="353"/>
      <c r="R56" s="353"/>
      <c r="V56" t="s">
        <v>221</v>
      </c>
    </row>
    <row r="57" spans="11:25" ht="12.75" customHeight="1">
      <c r="K57" s="107" t="s">
        <v>74</v>
      </c>
      <c r="L57" s="112">
        <v>0.1</v>
      </c>
      <c r="M57" s="353">
        <f aca="true" t="shared" si="18" ref="M57:R57">(M51+M52+M53+M54+M55+M56)*((28*3+28)/(365*3))</f>
        <v>0.0037390611872146124</v>
      </c>
      <c r="N57" s="353">
        <f t="shared" si="18"/>
        <v>0.005568814534149423</v>
      </c>
      <c r="O57" s="353">
        <f t="shared" si="18"/>
        <v>0.007478122374429225</v>
      </c>
      <c r="P57" s="353">
        <f t="shared" si="18"/>
        <v>0.010066703196347034</v>
      </c>
      <c r="Q57" s="353">
        <f t="shared" si="18"/>
        <v>0.013775488584474886</v>
      </c>
      <c r="R57" s="353">
        <f t="shared" si="18"/>
        <v>0.013775488584474886</v>
      </c>
      <c r="V57" s="717" t="s">
        <v>222</v>
      </c>
      <c r="W57" s="718" t="s">
        <v>223</v>
      </c>
      <c r="X57" s="718"/>
      <c r="Y57" s="324"/>
    </row>
    <row r="58" spans="1:24" ht="25.5">
      <c r="A58" s="317" t="s">
        <v>257</v>
      </c>
      <c r="K58" s="107" t="s">
        <v>78</v>
      </c>
      <c r="L58" s="105"/>
      <c r="M58" s="354">
        <f aca="true" t="shared" si="19" ref="M58:R58">SUM(M51:M57)</f>
        <v>0.04029506118721462</v>
      </c>
      <c r="N58" s="354">
        <f t="shared" si="19"/>
        <v>0.06001392091712815</v>
      </c>
      <c r="O58" s="354">
        <f t="shared" si="19"/>
        <v>0.08059012237442924</v>
      </c>
      <c r="P58" s="354">
        <f t="shared" si="19"/>
        <v>0.10848670319634704</v>
      </c>
      <c r="Q58" s="354">
        <f>SUM(Q51:Q57)</f>
        <v>0.14845548858447488</v>
      </c>
      <c r="R58" s="354">
        <f t="shared" si="19"/>
        <v>0.14845548858447488</v>
      </c>
      <c r="V58" s="718"/>
      <c r="W58" s="322" t="s">
        <v>242</v>
      </c>
      <c r="X58" s="323" t="s">
        <v>224</v>
      </c>
    </row>
    <row r="59" spans="22:24" ht="12.75">
      <c r="V59" s="321" t="s">
        <v>225</v>
      </c>
      <c r="W59" s="370">
        <v>396.4</v>
      </c>
      <c r="X59" s="370">
        <v>41.8</v>
      </c>
    </row>
    <row r="60" spans="11:24" ht="15.75">
      <c r="K60" s="100"/>
      <c r="L60" s="101"/>
      <c r="M60" s="598" t="s">
        <v>44</v>
      </c>
      <c r="N60" s="598"/>
      <c r="O60" s="598"/>
      <c r="P60" s="598"/>
      <c r="Q60" s="598"/>
      <c r="R60" s="598"/>
      <c r="V60" s="107" t="s">
        <v>226</v>
      </c>
      <c r="W60" s="370">
        <v>437.2</v>
      </c>
      <c r="X60" s="370">
        <v>47.4</v>
      </c>
    </row>
    <row r="61" spans="11:24" ht="12.75">
      <c r="K61" s="103"/>
      <c r="L61" s="104"/>
      <c r="M61" s="105" t="s">
        <v>52</v>
      </c>
      <c r="N61" s="105" t="s">
        <v>53</v>
      </c>
      <c r="O61" s="105" t="s">
        <v>54</v>
      </c>
      <c r="P61" s="105" t="s">
        <v>55</v>
      </c>
      <c r="Q61" s="105" t="s">
        <v>56</v>
      </c>
      <c r="R61" s="105" t="s">
        <v>57</v>
      </c>
      <c r="V61" s="199" t="s">
        <v>227</v>
      </c>
      <c r="W61" s="371">
        <v>374.5</v>
      </c>
      <c r="X61" s="371">
        <v>43.5</v>
      </c>
    </row>
    <row r="62" spans="11:24" ht="12.75">
      <c r="K62" s="107" t="s">
        <v>60</v>
      </c>
      <c r="L62" s="105"/>
      <c r="M62" s="355">
        <f>$O$36/R5</f>
        <v>0.005168141592920354</v>
      </c>
      <c r="N62" s="353">
        <f>O36/R6</f>
        <v>0.007209876543209876</v>
      </c>
      <c r="O62" s="353">
        <f>O36/R7</f>
        <v>0.013581395348837209</v>
      </c>
      <c r="P62" s="353">
        <f>O36/R8</f>
        <v>0.025391304347826087</v>
      </c>
      <c r="Q62" s="353">
        <f>O36/R9</f>
        <v>0.04492307692307692</v>
      </c>
      <c r="R62" s="353">
        <f>O36/R10</f>
        <v>0.04492307692307692</v>
      </c>
      <c r="V62" s="107" t="s">
        <v>78</v>
      </c>
      <c r="W62" s="431">
        <f>SUM(W59:W61)</f>
        <v>1208.1</v>
      </c>
      <c r="X62" s="431">
        <f>SUM(X59:X61)</f>
        <v>132.7</v>
      </c>
    </row>
    <row r="63" spans="11:24" ht="12.75">
      <c r="K63" s="107" t="s">
        <v>132</v>
      </c>
      <c r="L63" s="110">
        <v>0.5</v>
      </c>
      <c r="M63" s="353">
        <f>M62*L63</f>
        <v>0.002584070796460177</v>
      </c>
      <c r="N63" s="353">
        <f>N62*L63</f>
        <v>0.003604938271604938</v>
      </c>
      <c r="O63" s="353">
        <f>O62*L63</f>
        <v>0.006790697674418604</v>
      </c>
      <c r="P63" s="353">
        <f>P62*L63</f>
        <v>0.012695652173913044</v>
      </c>
      <c r="Q63" s="353">
        <f>Q62*L63</f>
        <v>0.02246153846153846</v>
      </c>
      <c r="R63" s="353">
        <f>R62*L63</f>
        <v>0.02246153846153846</v>
      </c>
      <c r="V63" s="107" t="s">
        <v>228</v>
      </c>
      <c r="W63" s="107"/>
      <c r="X63" s="432">
        <f>X62/W62</f>
        <v>0.1098419005049251</v>
      </c>
    </row>
    <row r="64" spans="11:18" ht="12.75">
      <c r="K64" s="107" t="s">
        <v>34</v>
      </c>
      <c r="L64" s="105"/>
      <c r="M64" s="353">
        <f>$P$13*1.3*0.0014*8/R$5</f>
        <v>0.0009019469026548671</v>
      </c>
      <c r="N64" s="353">
        <f>$P$13*1.3*0.0014*8/R$6</f>
        <v>0.0012582716049382714</v>
      </c>
      <c r="O64" s="353">
        <f>$P$13*1.3*0.0014*8/R$7</f>
        <v>0.0023702325581395345</v>
      </c>
      <c r="P64" s="353">
        <f>$P$13*1.3*0.0014*8/R$8</f>
        <v>0.004431304347826086</v>
      </c>
      <c r="Q64" s="353">
        <f>$P$13*1.3*0.0014*8/R$9</f>
        <v>0.00784</v>
      </c>
      <c r="R64" s="353">
        <f>$P$13*1.3*0.0014*8/R10</f>
        <v>0.00784</v>
      </c>
    </row>
    <row r="65" spans="11:18" ht="12.75">
      <c r="K65" s="107" t="s">
        <v>65</v>
      </c>
      <c r="L65" s="112">
        <f>L54</f>
        <v>1.7</v>
      </c>
      <c r="M65" s="353">
        <f aca="true" t="shared" si="20" ref="M65:R65">(M62+M63)*$L$65</f>
        <v>0.013178761061946903</v>
      </c>
      <c r="N65" s="353">
        <f t="shared" si="20"/>
        <v>0.01838518518518518</v>
      </c>
      <c r="O65" s="353">
        <f t="shared" si="20"/>
        <v>0.034632558139534884</v>
      </c>
      <c r="P65" s="353">
        <f t="shared" si="20"/>
        <v>0.06474782608695652</v>
      </c>
      <c r="Q65" s="353">
        <f t="shared" si="20"/>
        <v>0.11455384615384613</v>
      </c>
      <c r="R65" s="353">
        <f t="shared" si="20"/>
        <v>0.11455384615384613</v>
      </c>
    </row>
    <row r="66" spans="11:18" ht="12.75">
      <c r="K66" s="107" t="s">
        <v>68</v>
      </c>
      <c r="L66" s="325">
        <v>0.1</v>
      </c>
      <c r="M66" s="353">
        <f aca="true" t="shared" si="21" ref="M66:R66">(M62+M63)*$L$66</f>
        <v>0.0007752212389380531</v>
      </c>
      <c r="N66" s="353">
        <f t="shared" si="21"/>
        <v>0.0010814814814814814</v>
      </c>
      <c r="O66" s="353">
        <f t="shared" si="21"/>
        <v>0.0020372093023255816</v>
      </c>
      <c r="P66" s="353">
        <f t="shared" si="21"/>
        <v>0.003808695652173913</v>
      </c>
      <c r="Q66" s="353">
        <f t="shared" si="21"/>
        <v>0.006738461538461538</v>
      </c>
      <c r="R66" s="353">
        <f t="shared" si="21"/>
        <v>0.006738461538461538</v>
      </c>
    </row>
    <row r="67" spans="11:18" ht="12.75">
      <c r="K67" s="107" t="s">
        <v>83</v>
      </c>
      <c r="L67" s="112"/>
      <c r="M67" s="353"/>
      <c r="N67" s="353"/>
      <c r="O67" s="353"/>
      <c r="P67" s="353"/>
      <c r="Q67" s="353"/>
      <c r="R67" s="353"/>
    </row>
    <row r="68" spans="11:18" ht="12.75">
      <c r="K68" s="107" t="s">
        <v>74</v>
      </c>
      <c r="L68" s="112">
        <v>0.1</v>
      </c>
      <c r="M68" s="353">
        <f aca="true" t="shared" si="22" ref="M68:R68">(M62+M63+M64+M65+M66+M67)*((28*3+28)/(365*3))</f>
        <v>0.0023124309209197075</v>
      </c>
      <c r="N68" s="353">
        <f t="shared" si="22"/>
        <v>0.003225983877332431</v>
      </c>
      <c r="O68" s="353">
        <f t="shared" si="22"/>
        <v>0.006076853350323883</v>
      </c>
      <c r="P68" s="353">
        <f t="shared" si="22"/>
        <v>0.011361073654953346</v>
      </c>
      <c r="Q68" s="353">
        <f t="shared" si="22"/>
        <v>0.02010036108184053</v>
      </c>
      <c r="R68" s="353">
        <f t="shared" si="22"/>
        <v>0.02010036108184053</v>
      </c>
    </row>
    <row r="69" spans="11:18" ht="12.75">
      <c r="K69" s="107" t="s">
        <v>78</v>
      </c>
      <c r="L69" s="105"/>
      <c r="M69" s="354">
        <f aca="true" t="shared" si="23" ref="M69:R69">SUM(M62:M68)</f>
        <v>0.024920572513840063</v>
      </c>
      <c r="N69" s="354">
        <f t="shared" si="23"/>
        <v>0.03476573696375218</v>
      </c>
      <c r="O69" s="354">
        <f t="shared" si="23"/>
        <v>0.0654889463735797</v>
      </c>
      <c r="P69" s="354">
        <f t="shared" si="23"/>
        <v>0.12243585626364899</v>
      </c>
      <c r="Q69" s="354">
        <f t="shared" si="23"/>
        <v>0.21661728415876358</v>
      </c>
      <c r="R69" s="354">
        <f t="shared" si="23"/>
        <v>0.21661728415876358</v>
      </c>
    </row>
    <row r="70" ht="13.5" thickBot="1"/>
    <row r="71" spans="11:20" ht="15.75">
      <c r="K71" s="588" t="s">
        <v>0</v>
      </c>
      <c r="L71" s="589"/>
      <c r="M71" s="589"/>
      <c r="N71" s="589"/>
      <c r="O71" s="120"/>
      <c r="P71" s="121"/>
      <c r="Q71" s="121"/>
      <c r="R71" s="121"/>
      <c r="S71" s="121"/>
      <c r="T71" s="122"/>
    </row>
    <row r="72" spans="11:20" ht="15.75">
      <c r="K72" s="590" t="s">
        <v>205</v>
      </c>
      <c r="L72" s="591"/>
      <c r="M72" s="591"/>
      <c r="N72" s="591"/>
      <c r="O72" s="591"/>
      <c r="P72" s="115"/>
      <c r="Q72" s="115"/>
      <c r="R72" s="115"/>
      <c r="S72" s="115"/>
      <c r="T72" s="123"/>
    </row>
    <row r="73" spans="11:20" ht="12.75" customHeight="1">
      <c r="K73" s="666" t="s">
        <v>3</v>
      </c>
      <c r="L73" s="667" t="s">
        <v>4</v>
      </c>
      <c r="M73" s="667"/>
      <c r="N73" s="124" t="s">
        <v>5</v>
      </c>
      <c r="O73" s="124" t="s">
        <v>6</v>
      </c>
      <c r="P73" s="124" t="s">
        <v>7</v>
      </c>
      <c r="Q73" s="124" t="s">
        <v>8</v>
      </c>
      <c r="R73" s="124" t="s">
        <v>9</v>
      </c>
      <c r="S73" s="668" t="s">
        <v>10</v>
      </c>
      <c r="T73" s="669"/>
    </row>
    <row r="74" spans="11:20" ht="15.75" customHeight="1">
      <c r="K74" s="666"/>
      <c r="L74" s="667" t="s">
        <v>12</v>
      </c>
      <c r="M74" s="667"/>
      <c r="N74" s="356">
        <f>P13</f>
        <v>70</v>
      </c>
      <c r="O74" s="125">
        <f aca="true" t="shared" si="24" ref="O74:O79">2.12*1.888</f>
        <v>4.00256</v>
      </c>
      <c r="P74" s="126">
        <f>P14</f>
        <v>168</v>
      </c>
      <c r="Q74" s="126">
        <v>8</v>
      </c>
      <c r="R74" s="127">
        <v>100</v>
      </c>
      <c r="S74" s="670">
        <f aca="true" t="shared" si="25" ref="S74:S79">N74*O74/P74*Q74/R74</f>
        <v>0.13341866666666666</v>
      </c>
      <c r="T74" s="671"/>
    </row>
    <row r="75" spans="11:20" ht="14.25" customHeight="1">
      <c r="K75" s="666"/>
      <c r="L75" s="667" t="s">
        <v>14</v>
      </c>
      <c r="M75" s="667"/>
      <c r="N75" s="356">
        <f>N74</f>
        <v>70</v>
      </c>
      <c r="O75" s="125">
        <f t="shared" si="24"/>
        <v>4.00256</v>
      </c>
      <c r="P75" s="126">
        <f>P74</f>
        <v>168</v>
      </c>
      <c r="Q75" s="126">
        <v>8</v>
      </c>
      <c r="R75" s="127">
        <v>75</v>
      </c>
      <c r="S75" s="670">
        <f t="shared" si="25"/>
        <v>0.17789155555555555</v>
      </c>
      <c r="T75" s="671"/>
    </row>
    <row r="76" spans="11:20" ht="14.25" customHeight="1">
      <c r="K76" s="666"/>
      <c r="L76" s="672" t="s">
        <v>20</v>
      </c>
      <c r="M76" s="672"/>
      <c r="N76" s="356">
        <f>N75</f>
        <v>70</v>
      </c>
      <c r="O76" s="125">
        <f t="shared" si="24"/>
        <v>4.00256</v>
      </c>
      <c r="P76" s="126">
        <f>P75</f>
        <v>168</v>
      </c>
      <c r="Q76" s="126">
        <v>8</v>
      </c>
      <c r="R76" s="127">
        <v>50</v>
      </c>
      <c r="S76" s="670">
        <f t="shared" si="25"/>
        <v>0.2668373333333333</v>
      </c>
      <c r="T76" s="671"/>
    </row>
    <row r="77" spans="11:20" ht="15.75" customHeight="1">
      <c r="K77" s="666"/>
      <c r="L77" s="667" t="s">
        <v>21</v>
      </c>
      <c r="M77" s="667"/>
      <c r="N77" s="356">
        <f>N76</f>
        <v>70</v>
      </c>
      <c r="O77" s="125">
        <f t="shared" si="24"/>
        <v>4.00256</v>
      </c>
      <c r="P77" s="126">
        <f>P76</f>
        <v>168</v>
      </c>
      <c r="Q77" s="126">
        <v>8</v>
      </c>
      <c r="R77" s="127">
        <v>24</v>
      </c>
      <c r="S77" s="670">
        <f t="shared" si="25"/>
        <v>0.5559111111111111</v>
      </c>
      <c r="T77" s="671"/>
    </row>
    <row r="78" spans="11:20" ht="14.25" customHeight="1">
      <c r="K78" s="666"/>
      <c r="L78" s="667" t="s">
        <v>99</v>
      </c>
      <c r="M78" s="667"/>
      <c r="N78" s="356">
        <f>N77</f>
        <v>70</v>
      </c>
      <c r="O78" s="125">
        <f t="shared" si="24"/>
        <v>4.00256</v>
      </c>
      <c r="P78" s="126">
        <f>P77</f>
        <v>168</v>
      </c>
      <c r="Q78" s="126">
        <v>8</v>
      </c>
      <c r="R78" s="127">
        <v>17</v>
      </c>
      <c r="S78" s="670">
        <f t="shared" si="25"/>
        <v>0.7848156862745098</v>
      </c>
      <c r="T78" s="671"/>
    </row>
    <row r="79" spans="11:20" ht="15.75">
      <c r="K79" s="666"/>
      <c r="L79" s="667" t="s">
        <v>136</v>
      </c>
      <c r="M79" s="667"/>
      <c r="N79" s="356">
        <f>N78</f>
        <v>70</v>
      </c>
      <c r="O79" s="125">
        <f t="shared" si="24"/>
        <v>4.00256</v>
      </c>
      <c r="P79" s="126">
        <f>P78</f>
        <v>168</v>
      </c>
      <c r="Q79" s="126">
        <v>8</v>
      </c>
      <c r="R79" s="127">
        <v>8</v>
      </c>
      <c r="S79" s="670">
        <f t="shared" si="25"/>
        <v>1.6677333333333333</v>
      </c>
      <c r="T79" s="671"/>
    </row>
    <row r="80" spans="11:21" ht="12.75" customHeight="1">
      <c r="K80" s="599" t="s">
        <v>34</v>
      </c>
      <c r="L80" s="667" t="s">
        <v>4</v>
      </c>
      <c r="M80" s="667"/>
      <c r="N80" s="124" t="s">
        <v>5</v>
      </c>
      <c r="O80" s="124" t="s">
        <v>6</v>
      </c>
      <c r="P80" s="124" t="s">
        <v>8</v>
      </c>
      <c r="Q80" s="668" t="s">
        <v>35</v>
      </c>
      <c r="R80" s="668"/>
      <c r="S80" s="668" t="s">
        <v>10</v>
      </c>
      <c r="T80" s="669"/>
      <c r="U80" s="129"/>
    </row>
    <row r="81" spans="11:21" ht="15" customHeight="1">
      <c r="K81" s="599"/>
      <c r="L81" s="667" t="s">
        <v>12</v>
      </c>
      <c r="M81" s="667"/>
      <c r="N81" s="356">
        <f>N79</f>
        <v>70</v>
      </c>
      <c r="O81" s="130">
        <v>0.0014</v>
      </c>
      <c r="P81" s="126">
        <v>8</v>
      </c>
      <c r="Q81" s="673">
        <f>R74</f>
        <v>100</v>
      </c>
      <c r="R81" s="673"/>
      <c r="S81" s="670">
        <f aca="true" t="shared" si="26" ref="S81:S86">N81*O81*P81/Q81</f>
        <v>0.00784</v>
      </c>
      <c r="T81" s="671"/>
      <c r="U81" s="131"/>
    </row>
    <row r="82" spans="11:21" ht="16.5" customHeight="1">
      <c r="K82" s="599"/>
      <c r="L82" s="667" t="s">
        <v>14</v>
      </c>
      <c r="M82" s="667"/>
      <c r="N82" s="357">
        <f>N81</f>
        <v>70</v>
      </c>
      <c r="O82" s="130">
        <v>0.0014</v>
      </c>
      <c r="P82" s="126">
        <v>8</v>
      </c>
      <c r="Q82" s="673">
        <f>R75</f>
        <v>75</v>
      </c>
      <c r="R82" s="673"/>
      <c r="S82" s="670">
        <f t="shared" si="26"/>
        <v>0.010453333333333334</v>
      </c>
      <c r="T82" s="671"/>
      <c r="U82" s="132"/>
    </row>
    <row r="83" spans="11:21" ht="15" customHeight="1">
      <c r="K83" s="599"/>
      <c r="L83" s="672" t="s">
        <v>20</v>
      </c>
      <c r="M83" s="672"/>
      <c r="N83" s="357">
        <f>N82</f>
        <v>70</v>
      </c>
      <c r="O83" s="130">
        <v>0.0014</v>
      </c>
      <c r="P83" s="126">
        <v>8</v>
      </c>
      <c r="Q83" s="673">
        <f>R76</f>
        <v>50</v>
      </c>
      <c r="R83" s="673"/>
      <c r="S83" s="670">
        <f t="shared" si="26"/>
        <v>0.01568</v>
      </c>
      <c r="T83" s="671"/>
      <c r="U83" s="133"/>
    </row>
    <row r="84" spans="11:20" ht="15.75" customHeight="1">
      <c r="K84" s="599"/>
      <c r="L84" s="667" t="s">
        <v>21</v>
      </c>
      <c r="M84" s="667"/>
      <c r="N84" s="357">
        <f>N83</f>
        <v>70</v>
      </c>
      <c r="O84" s="130">
        <v>0.0014</v>
      </c>
      <c r="P84" s="126">
        <v>8</v>
      </c>
      <c r="Q84" s="673">
        <f>R77</f>
        <v>24</v>
      </c>
      <c r="R84" s="673"/>
      <c r="S84" s="670">
        <f t="shared" si="26"/>
        <v>0.03266666666666667</v>
      </c>
      <c r="T84" s="671"/>
    </row>
    <row r="85" spans="11:21" ht="14.25" customHeight="1">
      <c r="K85" s="599"/>
      <c r="L85" s="667" t="s">
        <v>99</v>
      </c>
      <c r="M85" s="667"/>
      <c r="N85" s="357">
        <f>N84</f>
        <v>70</v>
      </c>
      <c r="O85" s="130">
        <v>0.0014</v>
      </c>
      <c r="P85" s="126">
        <v>8</v>
      </c>
      <c r="Q85" s="673">
        <v>15</v>
      </c>
      <c r="R85" s="673"/>
      <c r="S85" s="670">
        <f t="shared" si="26"/>
        <v>0.05226666666666667</v>
      </c>
      <c r="T85" s="671"/>
      <c r="U85" s="98"/>
    </row>
    <row r="86" spans="11:20" ht="15.75" customHeight="1" thickBot="1">
      <c r="K86" s="600"/>
      <c r="L86" s="502" t="s">
        <v>136</v>
      </c>
      <c r="M86" s="502"/>
      <c r="N86" s="358">
        <f>N85</f>
        <v>70</v>
      </c>
      <c r="O86" s="134">
        <v>0.0014</v>
      </c>
      <c r="P86" s="215">
        <v>8</v>
      </c>
      <c r="Q86" s="574">
        <f>R79</f>
        <v>8</v>
      </c>
      <c r="R86" s="574"/>
      <c r="S86" s="575">
        <f t="shared" si="26"/>
        <v>0.098</v>
      </c>
      <c r="T86" s="576"/>
    </row>
    <row r="88" spans="14:16" ht="15.75">
      <c r="N88" s="674" t="s">
        <v>51</v>
      </c>
      <c r="O88" s="674"/>
      <c r="P88" s="674"/>
    </row>
    <row r="89" spans="10:18" ht="16.5" customHeight="1">
      <c r="J89" s="13"/>
      <c r="K89" s="13"/>
      <c r="M89" s="135" t="s">
        <v>137</v>
      </c>
      <c r="N89" s="135" t="s">
        <v>138</v>
      </c>
      <c r="O89" s="135" t="s">
        <v>139</v>
      </c>
      <c r="P89" s="136" t="s">
        <v>140</v>
      </c>
      <c r="Q89" s="135" t="s">
        <v>141</v>
      </c>
      <c r="R89" s="135" t="s">
        <v>57</v>
      </c>
    </row>
    <row r="90" spans="10:18" ht="12.75">
      <c r="J90" s="132"/>
      <c r="K90" s="107" t="s">
        <v>60</v>
      </c>
      <c r="L90" s="105"/>
      <c r="M90" s="353">
        <f>S74</f>
        <v>0.13341866666666666</v>
      </c>
      <c r="N90" s="353">
        <f>S75</f>
        <v>0.17789155555555555</v>
      </c>
      <c r="O90" s="353">
        <f>S76</f>
        <v>0.2668373333333333</v>
      </c>
      <c r="P90" s="353">
        <f>S77</f>
        <v>0.5559111111111111</v>
      </c>
      <c r="Q90" s="353">
        <f>S78</f>
        <v>0.7848156862745098</v>
      </c>
      <c r="R90" s="353">
        <f>S79</f>
        <v>1.6677333333333333</v>
      </c>
    </row>
    <row r="91" spans="10:18" ht="12.75">
      <c r="J91" s="13"/>
      <c r="K91" s="107" t="s">
        <v>132</v>
      </c>
      <c r="L91" s="110">
        <v>0.5</v>
      </c>
      <c r="M91" s="353">
        <f>M90*L91</f>
        <v>0.06670933333333333</v>
      </c>
      <c r="N91" s="353">
        <f>N90*L91</f>
        <v>0.08894577777777778</v>
      </c>
      <c r="O91" s="353">
        <f>O90*L91</f>
        <v>0.13341866666666666</v>
      </c>
      <c r="P91" s="353">
        <f>P90*L91</f>
        <v>0.27795555555555557</v>
      </c>
      <c r="Q91" s="353">
        <f>Q90*L91</f>
        <v>0.3924078431372549</v>
      </c>
      <c r="R91" s="353">
        <f>R90*L91</f>
        <v>0.8338666666666666</v>
      </c>
    </row>
    <row r="92" spans="11:18" ht="12.75">
      <c r="K92" s="107" t="s">
        <v>34</v>
      </c>
      <c r="L92" s="105"/>
      <c r="M92" s="353">
        <f>S81</f>
        <v>0.00784</v>
      </c>
      <c r="N92" s="353">
        <f>S82</f>
        <v>0.010453333333333334</v>
      </c>
      <c r="O92" s="353">
        <f>S83</f>
        <v>0.01568</v>
      </c>
      <c r="P92" s="353">
        <f>S84</f>
        <v>0.03266666666666667</v>
      </c>
      <c r="Q92" s="353">
        <f>S85</f>
        <v>0.05226666666666667</v>
      </c>
      <c r="R92" s="353">
        <f>S86</f>
        <v>0.098</v>
      </c>
    </row>
    <row r="93" spans="11:18" ht="12.75">
      <c r="K93" s="107" t="s">
        <v>65</v>
      </c>
      <c r="L93" s="112">
        <v>1</v>
      </c>
      <c r="M93" s="353">
        <f>(M90+M91)*L93</f>
        <v>0.20012799999999997</v>
      </c>
      <c r="N93" s="353">
        <f>(N90+N91)*L93</f>
        <v>0.2668373333333333</v>
      </c>
      <c r="O93" s="353">
        <f>(O90+O91)*L93</f>
        <v>0.40025599999999995</v>
      </c>
      <c r="P93" s="353">
        <f>(P90+P91)*L93</f>
        <v>0.8338666666666668</v>
      </c>
      <c r="Q93" s="353">
        <f>(Q90+Q91)*L93</f>
        <v>1.1772235294117648</v>
      </c>
      <c r="R93" s="353">
        <f>(R90+R91)*50%</f>
        <v>1.2508</v>
      </c>
    </row>
    <row r="94" spans="11:18" ht="12.75">
      <c r="K94" s="107" t="s">
        <v>68</v>
      </c>
      <c r="L94" s="325">
        <v>0.15</v>
      </c>
      <c r="M94" s="353">
        <f aca="true" t="shared" si="27" ref="M94:R94">(M90+M91)*$L$66</f>
        <v>0.020012799999999997</v>
      </c>
      <c r="N94" s="353">
        <f t="shared" si="27"/>
        <v>0.026683733333333334</v>
      </c>
      <c r="O94" s="353">
        <f t="shared" si="27"/>
        <v>0.040025599999999995</v>
      </c>
      <c r="P94" s="353">
        <f t="shared" si="27"/>
        <v>0.08338666666666668</v>
      </c>
      <c r="Q94" s="353">
        <f t="shared" si="27"/>
        <v>0.11772235294117649</v>
      </c>
      <c r="R94" s="353">
        <f t="shared" si="27"/>
        <v>0.25016</v>
      </c>
    </row>
    <row r="95" spans="11:18" ht="12.75">
      <c r="K95" s="107" t="s">
        <v>142</v>
      </c>
      <c r="L95" s="112">
        <v>0.25</v>
      </c>
      <c r="M95" s="353">
        <f aca="true" t="shared" si="28" ref="M95:R95">(M90+M91)*0.14</f>
        <v>0.028017919999999998</v>
      </c>
      <c r="N95" s="353">
        <f t="shared" si="28"/>
        <v>0.03735722666666667</v>
      </c>
      <c r="O95" s="353">
        <f t="shared" si="28"/>
        <v>0.056035839999999996</v>
      </c>
      <c r="P95" s="353">
        <f t="shared" si="28"/>
        <v>0.11674133333333336</v>
      </c>
      <c r="Q95" s="353">
        <f t="shared" si="28"/>
        <v>0.16481129411764708</v>
      </c>
      <c r="R95" s="353">
        <f t="shared" si="28"/>
        <v>0.35022400000000004</v>
      </c>
    </row>
    <row r="96" spans="11:18" ht="12.75">
      <c r="K96" s="107" t="s">
        <v>74</v>
      </c>
      <c r="L96" s="112">
        <v>0.1</v>
      </c>
      <c r="M96" s="353">
        <f aca="true" t="shared" si="29" ref="M96:R96">(M90+M91+M92+M93+M94+M95)*((28*3+28)/(365*3))</f>
        <v>0.046654057205479445</v>
      </c>
      <c r="N96" s="353">
        <f t="shared" si="29"/>
        <v>0.062205409607305924</v>
      </c>
      <c r="O96" s="353">
        <f t="shared" si="29"/>
        <v>0.09330811441095889</v>
      </c>
      <c r="P96" s="353">
        <f t="shared" si="29"/>
        <v>0.19439190502283107</v>
      </c>
      <c r="Q96" s="353">
        <f t="shared" si="29"/>
        <v>0.27506457143880386</v>
      </c>
      <c r="R96" s="353">
        <f t="shared" si="29"/>
        <v>0.45524000730593606</v>
      </c>
    </row>
    <row r="97" spans="11:18" ht="12.75">
      <c r="K97" s="107" t="s">
        <v>78</v>
      </c>
      <c r="L97" s="105"/>
      <c r="M97" s="354">
        <f aca="true" t="shared" si="30" ref="M97:R97">SUM(M90:M96)</f>
        <v>0.5027807772054794</v>
      </c>
      <c r="N97" s="354">
        <f t="shared" si="30"/>
        <v>0.6703743696073058</v>
      </c>
      <c r="O97" s="354">
        <f t="shared" si="30"/>
        <v>1.0055615544109588</v>
      </c>
      <c r="P97" s="354">
        <f t="shared" si="30"/>
        <v>2.0949199050228313</v>
      </c>
      <c r="Q97" s="354">
        <f t="shared" si="30"/>
        <v>2.9643119439878234</v>
      </c>
      <c r="R97" s="354">
        <f t="shared" si="30"/>
        <v>4.906024007305936</v>
      </c>
    </row>
    <row r="99" spans="13:20" ht="15.75">
      <c r="M99" s="137" t="s">
        <v>11</v>
      </c>
      <c r="N99" s="137" t="s">
        <v>138</v>
      </c>
      <c r="O99" s="137" t="s">
        <v>143</v>
      </c>
      <c r="P99" s="137" t="s">
        <v>140</v>
      </c>
      <c r="Q99" s="137" t="s">
        <v>144</v>
      </c>
      <c r="R99" s="137" t="s">
        <v>57</v>
      </c>
      <c r="T99" s="36"/>
    </row>
    <row r="100" spans="11:20" ht="15.75">
      <c r="K100" s="675" t="s">
        <v>42</v>
      </c>
      <c r="L100" s="675"/>
      <c r="M100" s="359">
        <f aca="true" t="shared" si="31" ref="M100:R100">M47</f>
        <v>0.46933744901065444</v>
      </c>
      <c r="N100" s="359">
        <f t="shared" si="31"/>
        <v>0.6149593351598173</v>
      </c>
      <c r="O100" s="359">
        <f t="shared" si="31"/>
        <v>0.8199457802130898</v>
      </c>
      <c r="P100" s="359">
        <f t="shared" si="31"/>
        <v>1.1181078821087587</v>
      </c>
      <c r="Q100" s="359">
        <f t="shared" si="31"/>
        <v>1.5373983378995433</v>
      </c>
      <c r="R100" s="359">
        <f t="shared" si="31"/>
        <v>2.459837340639269</v>
      </c>
      <c r="T100" s="36"/>
    </row>
    <row r="101" spans="11:20" ht="15.75">
      <c r="K101" s="675" t="s">
        <v>43</v>
      </c>
      <c r="L101" s="675"/>
      <c r="M101" s="359">
        <f aca="true" t="shared" si="32" ref="M101:R101">M58</f>
        <v>0.04029506118721462</v>
      </c>
      <c r="N101" s="359">
        <f t="shared" si="32"/>
        <v>0.06001392091712815</v>
      </c>
      <c r="O101" s="359">
        <f t="shared" si="32"/>
        <v>0.08059012237442924</v>
      </c>
      <c r="P101" s="359">
        <f t="shared" si="32"/>
        <v>0.10848670319634704</v>
      </c>
      <c r="Q101" s="359">
        <f t="shared" si="32"/>
        <v>0.14845548858447488</v>
      </c>
      <c r="R101" s="359">
        <f t="shared" si="32"/>
        <v>0.14845548858447488</v>
      </c>
      <c r="T101" s="36"/>
    </row>
    <row r="102" spans="11:18" ht="15" customHeight="1">
      <c r="K102" s="675" t="s">
        <v>44</v>
      </c>
      <c r="L102" s="675"/>
      <c r="M102" s="359">
        <f aca="true" t="shared" si="33" ref="M102:R102">M69</f>
        <v>0.024920572513840063</v>
      </c>
      <c r="N102" s="359">
        <f t="shared" si="33"/>
        <v>0.03476573696375218</v>
      </c>
      <c r="O102" s="359">
        <f t="shared" si="33"/>
        <v>0.0654889463735797</v>
      </c>
      <c r="P102" s="359">
        <f t="shared" si="33"/>
        <v>0.12243585626364899</v>
      </c>
      <c r="Q102" s="359">
        <f t="shared" si="33"/>
        <v>0.21661728415876358</v>
      </c>
      <c r="R102" s="359">
        <f t="shared" si="33"/>
        <v>0.21661728415876358</v>
      </c>
    </row>
    <row r="103" spans="11:18" ht="15" customHeight="1">
      <c r="K103" s="675" t="s">
        <v>51</v>
      </c>
      <c r="L103" s="675"/>
      <c r="M103" s="359">
        <f aca="true" t="shared" si="34" ref="M103:R103">M97</f>
        <v>0.5027807772054794</v>
      </c>
      <c r="N103" s="359">
        <f t="shared" si="34"/>
        <v>0.6703743696073058</v>
      </c>
      <c r="O103" s="359">
        <f t="shared" si="34"/>
        <v>1.0055615544109588</v>
      </c>
      <c r="P103" s="359">
        <f t="shared" si="34"/>
        <v>2.0949199050228313</v>
      </c>
      <c r="Q103" s="359">
        <f t="shared" si="34"/>
        <v>2.9643119439878234</v>
      </c>
      <c r="R103" s="359">
        <f t="shared" si="34"/>
        <v>4.906024007305936</v>
      </c>
    </row>
    <row r="104" spans="11:18" ht="15">
      <c r="K104" s="675" t="s">
        <v>78</v>
      </c>
      <c r="L104" s="675"/>
      <c r="M104" s="360">
        <f>M100+M101+M102+M103</f>
        <v>1.0373338599171884</v>
      </c>
      <c r="N104" s="360">
        <f>N100+N101+N102+N103</f>
        <v>1.3801133626480033</v>
      </c>
      <c r="O104" s="360">
        <f>O100+O101+O102+O103</f>
        <v>1.9715864033720576</v>
      </c>
      <c r="P104" s="360">
        <f>P100+P101+P102+P103</f>
        <v>3.4439503465915857</v>
      </c>
      <c r="Q104" s="360">
        <f>Q100+Q101+Q102+Q103</f>
        <v>4.866783054630606</v>
      </c>
      <c r="R104" s="360">
        <f>R100+R102+R103</f>
        <v>7.582478632103968</v>
      </c>
    </row>
    <row r="105" ht="13.5" thickBot="1"/>
    <row r="106" spans="11:20" ht="15.75">
      <c r="K106" s="676" t="s">
        <v>71</v>
      </c>
      <c r="L106" s="676"/>
      <c r="M106" s="676"/>
      <c r="N106" s="676"/>
      <c r="O106" s="138"/>
      <c r="P106" s="139"/>
      <c r="Q106" s="139"/>
      <c r="R106" s="139"/>
      <c r="S106" s="139"/>
      <c r="T106" s="140"/>
    </row>
    <row r="107" spans="11:20" ht="15.75">
      <c r="K107" s="677" t="s">
        <v>205</v>
      </c>
      <c r="L107" s="552"/>
      <c r="M107" s="552"/>
      <c r="N107" s="552"/>
      <c r="O107" s="552"/>
      <c r="P107" s="17"/>
      <c r="Q107" s="17"/>
      <c r="R107" s="17"/>
      <c r="S107" s="17"/>
      <c r="T107" s="141"/>
    </row>
    <row r="108" spans="11:20" ht="15.75">
      <c r="K108" s="678" t="s">
        <v>145</v>
      </c>
      <c r="L108" s="679"/>
      <c r="M108" s="679"/>
      <c r="N108" s="679"/>
      <c r="O108" s="679"/>
      <c r="P108" s="17"/>
      <c r="Q108" s="17"/>
      <c r="R108" s="17"/>
      <c r="S108" s="17"/>
      <c r="T108" s="141"/>
    </row>
    <row r="109" spans="11:20" ht="12.75">
      <c r="K109" s="692" t="s">
        <v>3</v>
      </c>
      <c r="L109" s="692"/>
      <c r="M109" s="692"/>
      <c r="N109" s="142" t="s">
        <v>5</v>
      </c>
      <c r="O109" s="142" t="s">
        <v>6</v>
      </c>
      <c r="P109" s="142" t="s">
        <v>7</v>
      </c>
      <c r="Q109" s="142" t="s">
        <v>8</v>
      </c>
      <c r="R109" s="680" t="s">
        <v>10</v>
      </c>
      <c r="S109" s="681"/>
      <c r="T109" s="682"/>
    </row>
    <row r="110" spans="11:20" ht="15.75">
      <c r="K110" s="692"/>
      <c r="L110" s="692"/>
      <c r="M110" s="692"/>
      <c r="N110" s="143">
        <f>L21</f>
        <v>70</v>
      </c>
      <c r="O110" s="144">
        <v>2.17</v>
      </c>
      <c r="P110" s="143">
        <f>P74</f>
        <v>168</v>
      </c>
      <c r="Q110" s="145">
        <v>8</v>
      </c>
      <c r="R110" s="683">
        <f>N110*O110/P110*Q110</f>
        <v>7.233333333333333</v>
      </c>
      <c r="S110" s="684"/>
      <c r="T110" s="685"/>
    </row>
    <row r="111" spans="11:20" ht="13.5" thickBot="1">
      <c r="K111" s="686" t="s">
        <v>34</v>
      </c>
      <c r="L111" s="686"/>
      <c r="M111" s="686"/>
      <c r="N111" s="146" t="s">
        <v>5</v>
      </c>
      <c r="O111" s="146" t="s">
        <v>6</v>
      </c>
      <c r="P111" s="146" t="s">
        <v>8</v>
      </c>
      <c r="Q111" s="680" t="s">
        <v>10</v>
      </c>
      <c r="R111" s="681"/>
      <c r="S111" s="681"/>
      <c r="T111" s="682"/>
    </row>
    <row r="112" spans="11:20" ht="16.5" thickBot="1">
      <c r="K112" s="686"/>
      <c r="L112" s="686"/>
      <c r="M112" s="686"/>
      <c r="N112" s="147">
        <f>N110</f>
        <v>70</v>
      </c>
      <c r="O112" s="148">
        <v>0.0014</v>
      </c>
      <c r="P112" s="147">
        <v>8</v>
      </c>
      <c r="Q112" s="687">
        <f>N112*O112*P112</f>
        <v>0.784</v>
      </c>
      <c r="R112" s="688"/>
      <c r="S112" s="688"/>
      <c r="T112" s="689"/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19" ht="15.75">
      <c r="A114" s="13"/>
      <c r="B114" s="13"/>
      <c r="C114" s="13"/>
      <c r="D114" s="13"/>
      <c r="E114" s="13"/>
      <c r="F114" s="13"/>
      <c r="G114" s="13"/>
      <c r="H114" s="13"/>
      <c r="I114" s="13"/>
      <c r="J114" s="149"/>
      <c r="K114" s="149"/>
      <c r="L114" s="691" t="s">
        <v>51</v>
      </c>
      <c r="M114" s="691"/>
      <c r="N114" s="691"/>
      <c r="O114" s="691"/>
      <c r="P114" s="150"/>
      <c r="Q114" s="150"/>
      <c r="R114" s="13"/>
      <c r="S114" s="13"/>
    </row>
    <row r="115" spans="1:19" ht="16.5" customHeight="1">
      <c r="A115" s="151"/>
      <c r="B115" s="152"/>
      <c r="C115" s="153"/>
      <c r="D115" s="154"/>
      <c r="E115" s="154"/>
      <c r="F115" s="154"/>
      <c r="G115" s="154"/>
      <c r="H115" s="154"/>
      <c r="I115" s="154"/>
      <c r="J115" s="13"/>
      <c r="K115" s="107" t="s">
        <v>60</v>
      </c>
      <c r="L115" s="105"/>
      <c r="M115" s="690">
        <f>R110</f>
        <v>7.233333333333333</v>
      </c>
      <c r="N115" s="690"/>
      <c r="O115" s="690"/>
      <c r="P115" s="132"/>
      <c r="Q115" s="132"/>
      <c r="R115" s="13"/>
      <c r="S115" s="13"/>
    </row>
    <row r="116" spans="1:19" ht="15.75" customHeight="1">
      <c r="A116" s="151"/>
      <c r="B116" s="152"/>
      <c r="C116" s="153"/>
      <c r="D116" s="155"/>
      <c r="E116" s="155"/>
      <c r="F116" s="155"/>
      <c r="G116" s="155"/>
      <c r="H116" s="155"/>
      <c r="I116" s="155"/>
      <c r="J116" s="132"/>
      <c r="K116" s="107" t="s">
        <v>132</v>
      </c>
      <c r="L116" s="110">
        <v>0.5</v>
      </c>
      <c r="M116" s="690">
        <f>M115*L116</f>
        <v>3.6166666666666667</v>
      </c>
      <c r="N116" s="690"/>
      <c r="O116" s="690"/>
      <c r="P116" s="13"/>
      <c r="Q116" s="156"/>
      <c r="R116" s="13"/>
      <c r="S116" s="13"/>
    </row>
    <row r="117" spans="1:21" ht="16.5" customHeight="1">
      <c r="A117" s="151"/>
      <c r="B117" s="157"/>
      <c r="C117" s="153"/>
      <c r="D117" s="158"/>
      <c r="E117" s="158"/>
      <c r="F117" s="158"/>
      <c r="G117" s="158"/>
      <c r="H117" s="158"/>
      <c r="I117" s="158"/>
      <c r="J117" s="132"/>
      <c r="K117" s="107" t="s">
        <v>34</v>
      </c>
      <c r="L117" s="105"/>
      <c r="M117" s="690">
        <f>Q112</f>
        <v>0.784</v>
      </c>
      <c r="N117" s="690"/>
      <c r="O117" s="690"/>
      <c r="P117" s="159"/>
      <c r="Q117" s="156"/>
      <c r="R117" s="13"/>
      <c r="S117" s="13"/>
      <c r="U117" s="132"/>
    </row>
    <row r="118" spans="1:21" ht="15.75">
      <c r="A118" s="151"/>
      <c r="B118" s="152"/>
      <c r="C118" s="153"/>
      <c r="D118" s="155"/>
      <c r="E118" s="155"/>
      <c r="F118" s="155"/>
      <c r="G118" s="155"/>
      <c r="H118" s="155"/>
      <c r="I118" s="155"/>
      <c r="J118" s="13"/>
      <c r="K118" s="107" t="s">
        <v>65</v>
      </c>
      <c r="L118" s="112">
        <v>1.5</v>
      </c>
      <c r="M118" s="690">
        <f>(M115+M116)*L118</f>
        <v>16.275</v>
      </c>
      <c r="N118" s="690"/>
      <c r="O118" s="690"/>
      <c r="P118" s="159"/>
      <c r="Q118" s="156"/>
      <c r="R118" s="13"/>
      <c r="S118" s="13"/>
      <c r="U118" s="133"/>
    </row>
    <row r="119" spans="1:21" ht="16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5"/>
      <c r="K119" s="107" t="s">
        <v>68</v>
      </c>
      <c r="L119" s="325">
        <v>0.1</v>
      </c>
      <c r="M119" s="695">
        <f>(M115+M116)*L119</f>
        <v>1.085</v>
      </c>
      <c r="N119" s="695"/>
      <c r="O119" s="695"/>
      <c r="P119" s="160"/>
      <c r="Q119" s="129"/>
      <c r="R119" s="129"/>
      <c r="S119" s="129"/>
      <c r="T119" s="129"/>
      <c r="U119" s="132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5"/>
      <c r="K120" s="107" t="s">
        <v>142</v>
      </c>
      <c r="L120" s="112">
        <v>0.25</v>
      </c>
      <c r="M120" s="720">
        <f>(M115+M116)*L120</f>
        <v>2.7125</v>
      </c>
      <c r="N120" s="720"/>
      <c r="O120" s="720"/>
      <c r="P120" s="161"/>
      <c r="Q120" s="131"/>
      <c r="R120" s="131"/>
      <c r="S120" s="131"/>
      <c r="T120" s="131"/>
      <c r="U120" s="133"/>
    </row>
    <row r="121" spans="1:20" ht="15.75">
      <c r="A121" s="13"/>
      <c r="B121" s="13"/>
      <c r="C121" s="13"/>
      <c r="D121" s="13"/>
      <c r="E121" s="13"/>
      <c r="F121" s="13"/>
      <c r="G121" s="13"/>
      <c r="H121" s="13"/>
      <c r="I121" s="13"/>
      <c r="J121" s="7"/>
      <c r="K121" s="107" t="s">
        <v>74</v>
      </c>
      <c r="L121" s="112">
        <v>0.1</v>
      </c>
      <c r="M121" s="690">
        <f>(M115+M116+M117+M118+M119+M120)*((28*3+28)/(365*3))</f>
        <v>3.2430392694063928</v>
      </c>
      <c r="N121" s="690"/>
      <c r="O121" s="690"/>
      <c r="P121" s="132"/>
      <c r="Q121" s="132"/>
      <c r="R121" s="132"/>
      <c r="S121" s="132"/>
      <c r="T121" s="132"/>
    </row>
    <row r="122" spans="10:20" ht="15.75">
      <c r="J122" s="7"/>
      <c r="K122" s="107" t="s">
        <v>78</v>
      </c>
      <c r="L122" s="105"/>
      <c r="M122" s="690">
        <f>M115+M116+M117+M118+M119+M120+M121</f>
        <v>34.949539269406394</v>
      </c>
      <c r="N122" s="690"/>
      <c r="O122" s="690"/>
      <c r="P122" s="36"/>
      <c r="Q122" s="36"/>
      <c r="R122" s="133"/>
      <c r="S122" s="133"/>
      <c r="T122" s="133"/>
    </row>
    <row r="123" spans="10:19" ht="13.5" customHeight="1">
      <c r="J123" s="13"/>
      <c r="K123" s="13"/>
      <c r="L123" s="13"/>
      <c r="M123" s="721" t="s">
        <v>71</v>
      </c>
      <c r="N123" s="721"/>
      <c r="O123" s="721"/>
      <c r="P123" s="721"/>
      <c r="Q123" s="721"/>
      <c r="R123" s="721"/>
      <c r="S123" s="13"/>
    </row>
    <row r="124" spans="10:20" ht="15.75">
      <c r="J124" s="149"/>
      <c r="K124" s="700"/>
      <c r="L124" s="700"/>
      <c r="M124" s="700"/>
      <c r="N124" s="700"/>
      <c r="O124" s="128" t="s">
        <v>137</v>
      </c>
      <c r="P124" s="128" t="s">
        <v>138</v>
      </c>
      <c r="Q124" s="128" t="s">
        <v>139</v>
      </c>
      <c r="R124" s="162" t="s">
        <v>140</v>
      </c>
      <c r="S124" s="128" t="s">
        <v>141</v>
      </c>
      <c r="T124" s="135"/>
    </row>
    <row r="125" spans="10:20" ht="16.5" customHeight="1">
      <c r="J125" s="13"/>
      <c r="K125" s="693" t="s">
        <v>47</v>
      </c>
      <c r="L125" s="693"/>
      <c r="M125" s="693"/>
      <c r="N125" s="694"/>
      <c r="O125" s="362">
        <f>$M$122/W38</f>
        <v>0.17474769634703197</v>
      </c>
      <c r="P125" s="362">
        <f>M122/W39</f>
        <v>0.23299692846270928</v>
      </c>
      <c r="Q125" s="362">
        <f>M122/W40</f>
        <v>0.34949539269406393</v>
      </c>
      <c r="R125" s="362">
        <f>M122/W41</f>
        <v>1.0921731021689498</v>
      </c>
      <c r="S125" s="362">
        <f>M122/W42</f>
        <v>2.912461605783866</v>
      </c>
      <c r="T125" s="163"/>
    </row>
    <row r="126" spans="10:20" ht="16.5" customHeight="1">
      <c r="J126" s="132"/>
      <c r="K126" s="693" t="s">
        <v>48</v>
      </c>
      <c r="L126" s="693"/>
      <c r="M126" s="693"/>
      <c r="N126" s="694"/>
      <c r="O126" s="362">
        <f>O125*T126</f>
        <v>0.05941421675799087</v>
      </c>
      <c r="P126" s="362">
        <f>P125*T126</f>
        <v>0.07921895567732117</v>
      </c>
      <c r="Q126" s="362">
        <f>Q125*T126</f>
        <v>0.11882843351598174</v>
      </c>
      <c r="R126" s="362">
        <f>R125*T126</f>
        <v>0.37133885473744294</v>
      </c>
      <c r="S126" s="362">
        <f>S125*T126</f>
        <v>0.9902369459665146</v>
      </c>
      <c r="T126" s="164">
        <v>0.34</v>
      </c>
    </row>
    <row r="127" spans="10:20" ht="18" customHeight="1">
      <c r="J127" s="132"/>
      <c r="K127" s="693" t="s">
        <v>49</v>
      </c>
      <c r="L127" s="693"/>
      <c r="M127" s="693"/>
      <c r="N127" s="694"/>
      <c r="O127" s="362">
        <f>O125*T127</f>
        <v>0</v>
      </c>
      <c r="P127" s="363">
        <f>P125*T127</f>
        <v>0</v>
      </c>
      <c r="Q127" s="362">
        <f>Q125*T127</f>
        <v>0</v>
      </c>
      <c r="R127" s="362">
        <f>R125*T127</f>
        <v>0</v>
      </c>
      <c r="S127" s="362">
        <f>S125*T127</f>
        <v>0</v>
      </c>
      <c r="T127" s="164"/>
    </row>
    <row r="128" spans="10:20" ht="15.75" customHeight="1">
      <c r="J128" s="13"/>
      <c r="K128" s="696" t="s">
        <v>146</v>
      </c>
      <c r="L128" s="696"/>
      <c r="M128" s="696"/>
      <c r="N128" s="697"/>
      <c r="O128" s="362">
        <f>O125*T128</f>
        <v>0.0010484861780821917</v>
      </c>
      <c r="P128" s="362">
        <f>P125*T128</f>
        <v>0.0013979815707762556</v>
      </c>
      <c r="Q128" s="363">
        <f>Q125*T128</f>
        <v>0.0020969723561643835</v>
      </c>
      <c r="R128" s="362">
        <f>R125*T128</f>
        <v>0.006553038613013699</v>
      </c>
      <c r="S128" s="362">
        <f>S125*T128</f>
        <v>0.017474769634703197</v>
      </c>
      <c r="T128" s="165">
        <v>0.006</v>
      </c>
    </row>
    <row r="129" spans="10:20" ht="15.75">
      <c r="J129" s="5"/>
      <c r="K129" s="698" t="s">
        <v>50</v>
      </c>
      <c r="L129" s="698"/>
      <c r="M129" s="698"/>
      <c r="N129" s="699"/>
      <c r="O129" s="364">
        <f>Y38*2.9</f>
        <v>0.7744152750000001</v>
      </c>
      <c r="P129" s="364">
        <f>Y39*4.4</f>
        <v>1.5666332</v>
      </c>
      <c r="Q129" s="363">
        <f>Y40*5.8</f>
        <v>3.0976611000000003</v>
      </c>
      <c r="R129" s="363">
        <f>Y41*3.65</f>
        <v>6.091844296875</v>
      </c>
      <c r="S129" s="363">
        <f>Y42*1.9</f>
        <v>8.45625875</v>
      </c>
      <c r="T129" s="166"/>
    </row>
    <row r="130" spans="10:20" ht="15.75" customHeight="1">
      <c r="J130" s="5"/>
      <c r="K130" s="701" t="s">
        <v>221</v>
      </c>
      <c r="L130" s="698"/>
      <c r="M130" s="698"/>
      <c r="N130" s="699"/>
      <c r="O130" s="364">
        <f>O125*T130</f>
        <v>0.019194619075615548</v>
      </c>
      <c r="P130" s="364">
        <f>P125*T130</f>
        <v>0.025592825434154063</v>
      </c>
      <c r="Q130" s="364">
        <f>Q125*T130</f>
        <v>0.038389238151231096</v>
      </c>
      <c r="R130" s="364">
        <f>R125*T130</f>
        <v>0.11996636922259718</v>
      </c>
      <c r="S130" s="364">
        <f>S125*T130</f>
        <v>0.3199103179269258</v>
      </c>
      <c r="T130" s="326">
        <f>T144</f>
        <v>0.1098419005049251</v>
      </c>
    </row>
    <row r="131" spans="10:20" ht="15.75">
      <c r="J131" s="7"/>
      <c r="K131" s="702" t="s">
        <v>61</v>
      </c>
      <c r="L131" s="702"/>
      <c r="M131" s="702"/>
      <c r="N131" s="703"/>
      <c r="O131" s="362">
        <f>O125*T131</f>
        <v>0</v>
      </c>
      <c r="P131" s="362">
        <f>P125*T131</f>
        <v>0</v>
      </c>
      <c r="Q131" s="362">
        <f>Q125*T131</f>
        <v>0</v>
      </c>
      <c r="R131" s="362">
        <f>R125*T131</f>
        <v>0</v>
      </c>
      <c r="S131" s="362">
        <f>S125*T131</f>
        <v>0</v>
      </c>
      <c r="T131" s="168"/>
    </row>
    <row r="132" spans="10:20" ht="15.75">
      <c r="J132" s="7"/>
      <c r="K132" s="702" t="s">
        <v>147</v>
      </c>
      <c r="L132" s="702"/>
      <c r="M132" s="702"/>
      <c r="N132" s="703"/>
      <c r="O132" s="362">
        <f>(O125+O126+O127+O128+O129+O130+O131)*T132</f>
        <v>0</v>
      </c>
      <c r="P132" s="362">
        <f>(P125+P126+P127+P128+P129+P130+P131)*T132</f>
        <v>0</v>
      </c>
      <c r="Q132" s="362">
        <f>(Q125+Q126+Q127+Q128+Q129+Q130+Q131)*T132</f>
        <v>0</v>
      </c>
      <c r="R132" s="362">
        <f>(R125+R126+R127+R128+R129+R130+R131)*T132</f>
        <v>0</v>
      </c>
      <c r="S132" s="362">
        <f>(S125+S126+S127+S128+S129+S130+S131)*T132</f>
        <v>0</v>
      </c>
      <c r="T132" s="168">
        <v>0</v>
      </c>
    </row>
    <row r="133" spans="11:20" ht="15.75">
      <c r="K133" s="704" t="s">
        <v>148</v>
      </c>
      <c r="L133" s="704"/>
      <c r="M133" s="704"/>
      <c r="N133" s="705"/>
      <c r="O133" s="362">
        <f>(O125+O126+O127+O128+O129+O130+O131+O132)*T133</f>
        <v>0</v>
      </c>
      <c r="P133" s="362">
        <f>(P125+P126+P127+P128+P129+P130+P131+P132)*T133</f>
        <v>0</v>
      </c>
      <c r="Q133" s="362">
        <f>(Q125+Q126+Q127+Q128+Q129+Q130+Q131+Q132)*T133</f>
        <v>0</v>
      </c>
      <c r="R133" s="362">
        <f>(R125+R126+R127+R128+R129+R130+R131+R132)*T133</f>
        <v>0</v>
      </c>
      <c r="S133" s="362">
        <f>(S125+S126+S127+S128+S129+S130+S131+S132)*T133</f>
        <v>0</v>
      </c>
      <c r="T133" s="164"/>
    </row>
    <row r="134" spans="11:20" ht="30" customHeight="1">
      <c r="K134" s="706" t="s">
        <v>90</v>
      </c>
      <c r="L134" s="706"/>
      <c r="M134" s="706"/>
      <c r="N134" s="707"/>
      <c r="O134" s="362">
        <f>O125+O126+O127+O128+O129+O130+O131+O132+O133</f>
        <v>1.0288202933587207</v>
      </c>
      <c r="P134" s="362">
        <f>P125+P126+P127+P128+P129+P130+P131+P132+P133</f>
        <v>1.9058398911449608</v>
      </c>
      <c r="Q134" s="362">
        <f>Q125+Q126+Q127+Q128+Q129+Q130+Q131+Q132+Q133</f>
        <v>3.6064711367174414</v>
      </c>
      <c r="R134" s="362">
        <f>R125+R126+R127+R128+R129+R130+R131+R132+R133</f>
        <v>7.681875661617004</v>
      </c>
      <c r="S134" s="362">
        <f>S125+S126+S127+S128+S129+S130+S131+S132+S133</f>
        <v>12.69634238931201</v>
      </c>
      <c r="T134" s="163"/>
    </row>
    <row r="137" spans="11:19" ht="15.75">
      <c r="K137" s="13"/>
      <c r="L137" s="13"/>
      <c r="M137" s="544" t="s">
        <v>220</v>
      </c>
      <c r="N137" s="544"/>
      <c r="O137" s="544"/>
      <c r="P137" s="544"/>
      <c r="Q137" s="544"/>
      <c r="R137" s="544"/>
      <c r="S137" s="13"/>
    </row>
    <row r="138" spans="11:19" ht="15.75">
      <c r="K138" s="700"/>
      <c r="L138" s="700"/>
      <c r="M138" s="700"/>
      <c r="N138" s="700"/>
      <c r="O138" s="128" t="s">
        <v>137</v>
      </c>
      <c r="P138" s="128" t="s">
        <v>138</v>
      </c>
      <c r="Q138" s="128" t="s">
        <v>139</v>
      </c>
      <c r="R138" s="162" t="s">
        <v>140</v>
      </c>
      <c r="S138" s="128" t="s">
        <v>141</v>
      </c>
    </row>
    <row r="139" spans="11:19" ht="15.75">
      <c r="K139" s="693" t="s">
        <v>47</v>
      </c>
      <c r="L139" s="693"/>
      <c r="M139" s="693"/>
      <c r="N139" s="694"/>
      <c r="O139" s="362">
        <f>$M$122/W38</f>
        <v>0.17474769634703197</v>
      </c>
      <c r="P139" s="362">
        <f>M122/W39</f>
        <v>0.23299692846270928</v>
      </c>
      <c r="Q139" s="362">
        <f>M122/W40</f>
        <v>0.34949539269406393</v>
      </c>
      <c r="R139" s="362">
        <f>M122/W41</f>
        <v>1.0921731021689498</v>
      </c>
      <c r="S139" s="362">
        <f>M122/W42</f>
        <v>2.912461605783866</v>
      </c>
    </row>
    <row r="140" spans="11:20" ht="15.75">
      <c r="K140" s="693" t="s">
        <v>48</v>
      </c>
      <c r="L140" s="693"/>
      <c r="M140" s="693"/>
      <c r="N140" s="694"/>
      <c r="O140" s="362">
        <f>O139*$T$140</f>
        <v>0.05941421675799087</v>
      </c>
      <c r="P140" s="362">
        <f>P139*$T$140</f>
        <v>0.07921895567732117</v>
      </c>
      <c r="Q140" s="362">
        <f>Q139*$T$140</f>
        <v>0.11882843351598174</v>
      </c>
      <c r="R140" s="362">
        <f>R139*$T$140</f>
        <v>0.37133885473744294</v>
      </c>
      <c r="S140" s="362">
        <f>S139*$T$140</f>
        <v>0.9902369459665146</v>
      </c>
      <c r="T140" s="164">
        <v>0.34</v>
      </c>
    </row>
    <row r="141" spans="11:20" ht="15.75">
      <c r="K141" s="693" t="s">
        <v>49</v>
      </c>
      <c r="L141" s="693"/>
      <c r="M141" s="693"/>
      <c r="N141" s="694"/>
      <c r="O141" s="362"/>
      <c r="P141" s="363"/>
      <c r="Q141" s="362"/>
      <c r="R141" s="362"/>
      <c r="S141" s="362"/>
      <c r="T141" s="164"/>
    </row>
    <row r="142" spans="11:20" ht="15.75">
      <c r="K142" s="696" t="s">
        <v>146</v>
      </c>
      <c r="L142" s="696"/>
      <c r="M142" s="696"/>
      <c r="N142" s="697"/>
      <c r="O142" s="362">
        <f>O139*$T$142</f>
        <v>0.0010484861780821917</v>
      </c>
      <c r="P142" s="362">
        <f>P139*$T$142</f>
        <v>0.0013979815707762556</v>
      </c>
      <c r="Q142" s="362">
        <f>Q139*$T$142</f>
        <v>0.0020969723561643835</v>
      </c>
      <c r="R142" s="362">
        <f>R139*$T$142</f>
        <v>0.006553038613013699</v>
      </c>
      <c r="S142" s="362">
        <f>S139*$T$142</f>
        <v>0.017474769634703197</v>
      </c>
      <c r="T142" s="165">
        <v>0.006</v>
      </c>
    </row>
    <row r="143" spans="11:20" ht="15.75">
      <c r="K143" s="698" t="s">
        <v>50</v>
      </c>
      <c r="L143" s="698"/>
      <c r="M143" s="698"/>
      <c r="N143" s="699"/>
      <c r="O143" s="364">
        <f>$Z38</f>
        <v>0.1779685</v>
      </c>
      <c r="P143" s="364">
        <f>Z39</f>
        <v>0.23729133333333333</v>
      </c>
      <c r="Q143" s="364">
        <f>Z40</f>
        <v>0.355937</v>
      </c>
      <c r="R143" s="364">
        <f>Z41</f>
        <v>1.112303125</v>
      </c>
      <c r="S143" s="364">
        <f>Z42</f>
        <v>2.9661416666666667</v>
      </c>
      <c r="T143" s="166"/>
    </row>
    <row r="144" spans="11:20" ht="15.75">
      <c r="K144" s="701" t="s">
        <v>221</v>
      </c>
      <c r="L144" s="698"/>
      <c r="M144" s="698"/>
      <c r="N144" s="699"/>
      <c r="O144" s="364">
        <f>O139*$T$144</f>
        <v>0.019194619075615548</v>
      </c>
      <c r="P144" s="364">
        <f>P139*$T$144</f>
        <v>0.025592825434154063</v>
      </c>
      <c r="Q144" s="364">
        <f>Q139*154%</f>
        <v>0.5382229047488585</v>
      </c>
      <c r="R144" s="364">
        <f>R139*$T$144</f>
        <v>0.11996636922259718</v>
      </c>
      <c r="S144" s="364">
        <f>S139*$T$144</f>
        <v>0.3199103179269258</v>
      </c>
      <c r="T144" s="326">
        <f>C21</f>
        <v>0.1098419005049251</v>
      </c>
    </row>
    <row r="145" spans="11:20" ht="15.75">
      <c r="K145" s="702" t="s">
        <v>61</v>
      </c>
      <c r="L145" s="702"/>
      <c r="M145" s="702"/>
      <c r="N145" s="703"/>
      <c r="O145" s="362"/>
      <c r="P145" s="362"/>
      <c r="Q145" s="362"/>
      <c r="R145" s="362"/>
      <c r="S145" s="362"/>
      <c r="T145" s="168"/>
    </row>
    <row r="146" spans="11:20" ht="15.75">
      <c r="K146" s="702" t="s">
        <v>147</v>
      </c>
      <c r="L146" s="702"/>
      <c r="M146" s="702"/>
      <c r="N146" s="703"/>
      <c r="O146" s="362">
        <f>(O139+O140+O142+O143+O144)*$T$146</f>
        <v>0</v>
      </c>
      <c r="P146" s="362">
        <f>(P139+P140+P142+P143+P144)*$T$146</f>
        <v>0</v>
      </c>
      <c r="Q146" s="362">
        <f>(Q139+Q140+Q142+Q143+Q144)*$T$146</f>
        <v>0</v>
      </c>
      <c r="R146" s="362">
        <f>(R139+R140+R142+R143+R144)*$T$146</f>
        <v>0</v>
      </c>
      <c r="S146" s="362">
        <f>(S139+S140+S142+S143+S144)*$T$146</f>
        <v>0</v>
      </c>
      <c r="T146" s="168">
        <v>0</v>
      </c>
    </row>
    <row r="147" spans="11:19" ht="15.75">
      <c r="K147" s="704" t="s">
        <v>148</v>
      </c>
      <c r="L147" s="704"/>
      <c r="M147" s="704"/>
      <c r="N147" s="705"/>
      <c r="O147" s="362"/>
      <c r="P147" s="362"/>
      <c r="Q147" s="362"/>
      <c r="R147" s="362"/>
      <c r="S147" s="362"/>
    </row>
    <row r="148" spans="11:19" ht="29.25" customHeight="1">
      <c r="K148" s="706" t="s">
        <v>90</v>
      </c>
      <c r="L148" s="706"/>
      <c r="M148" s="706"/>
      <c r="N148" s="707"/>
      <c r="O148" s="362">
        <f>O139+O140+O142+O143+O144+O146</f>
        <v>0.43237351835872057</v>
      </c>
      <c r="P148" s="362">
        <f>P139+P140+P142+P143+P144+P146</f>
        <v>0.5764980244782941</v>
      </c>
      <c r="Q148" s="362">
        <f>Q139+Q140+Q142+Q143+Q144+Q146</f>
        <v>1.3645807033150685</v>
      </c>
      <c r="R148" s="362">
        <f>R139+R140+R142+R143+R144+R146</f>
        <v>2.702334489742004</v>
      </c>
      <c r="S148" s="362">
        <f>S139+S140+S142+S143+S144+S146</f>
        <v>7.206225305978676</v>
      </c>
    </row>
    <row r="163" spans="11:18" ht="12.75">
      <c r="K163" s="13"/>
      <c r="L163" s="13"/>
      <c r="M163" s="13"/>
      <c r="N163" s="13"/>
      <c r="O163" s="13"/>
      <c r="P163" s="13"/>
      <c r="Q163" s="13"/>
      <c r="R163" s="13"/>
    </row>
    <row r="164" spans="11:18" ht="12.75">
      <c r="K164" s="13"/>
      <c r="L164" s="13"/>
      <c r="M164" s="13"/>
      <c r="N164" s="13"/>
      <c r="O164" s="13"/>
      <c r="P164" s="13"/>
      <c r="Q164" s="13"/>
      <c r="R164" s="13"/>
    </row>
    <row r="165" spans="11:18" ht="12.75">
      <c r="K165" s="13"/>
      <c r="L165" s="13"/>
      <c r="M165" s="13"/>
      <c r="N165" s="13"/>
      <c r="O165" s="13"/>
      <c r="P165" s="13"/>
      <c r="Q165" s="13"/>
      <c r="R165" s="13"/>
    </row>
    <row r="166" spans="11:18" ht="15.75">
      <c r="K166" s="149"/>
      <c r="L166" s="149"/>
      <c r="M166" s="13"/>
      <c r="N166" s="13"/>
      <c r="O166" s="13"/>
      <c r="P166" s="13"/>
      <c r="Q166" s="13"/>
      <c r="R166" s="13"/>
    </row>
    <row r="167" spans="11:18" ht="12.75">
      <c r="K167" s="13"/>
      <c r="L167" s="13"/>
      <c r="M167" s="13"/>
      <c r="N167" s="13"/>
      <c r="O167" s="13"/>
      <c r="P167" s="13"/>
      <c r="Q167" s="13"/>
      <c r="R167" s="13"/>
    </row>
    <row r="168" spans="11:18" ht="12.75">
      <c r="K168" s="13"/>
      <c r="L168" s="13"/>
      <c r="M168" s="13"/>
      <c r="N168" s="13"/>
      <c r="O168" s="13"/>
      <c r="P168" s="13"/>
      <c r="Q168" s="13"/>
      <c r="R168" s="13"/>
    </row>
    <row r="169" spans="11:18" ht="12.75">
      <c r="K169" s="541"/>
      <c r="L169" s="132"/>
      <c r="M169" s="132"/>
      <c r="N169" s="132"/>
      <c r="O169" s="132"/>
      <c r="P169" s="132"/>
      <c r="Q169" s="132"/>
      <c r="R169" s="132"/>
    </row>
    <row r="170" spans="11:18" ht="15.75">
      <c r="K170" s="541"/>
      <c r="L170" s="132"/>
      <c r="M170" s="132"/>
      <c r="N170" s="132"/>
      <c r="O170" s="169"/>
      <c r="P170" s="36"/>
      <c r="Q170" s="133"/>
      <c r="R170" s="133"/>
    </row>
    <row r="171" spans="11:18" ht="12.75">
      <c r="K171" s="536"/>
      <c r="L171" s="132"/>
      <c r="M171" s="132"/>
      <c r="N171" s="132"/>
      <c r="O171" s="132"/>
      <c r="P171" s="132"/>
      <c r="Q171" s="132"/>
      <c r="R171" s="132"/>
    </row>
    <row r="172" spans="11:18" ht="15.75">
      <c r="K172" s="536"/>
      <c r="L172" s="132"/>
      <c r="M172" s="132"/>
      <c r="N172" s="132"/>
      <c r="O172" s="36"/>
      <c r="P172" s="36"/>
      <c r="Q172" s="133"/>
      <c r="R172" s="133"/>
    </row>
    <row r="173" spans="11:18" ht="12.75">
      <c r="K173" s="13"/>
      <c r="L173" s="13"/>
      <c r="M173" s="13"/>
      <c r="N173" s="13"/>
      <c r="O173" s="13"/>
      <c r="P173" s="13"/>
      <c r="Q173" s="13"/>
      <c r="R173" s="13"/>
    </row>
    <row r="174" spans="11:18" ht="15.75">
      <c r="K174" s="132"/>
      <c r="L174" s="132"/>
      <c r="M174" s="537"/>
      <c r="N174" s="537"/>
      <c r="O174" s="537"/>
      <c r="P174" s="537"/>
      <c r="Q174" s="537"/>
      <c r="R174" s="8"/>
    </row>
    <row r="175" spans="11:18" ht="12.75">
      <c r="K175" s="13"/>
      <c r="L175" s="132"/>
      <c r="M175" s="534"/>
      <c r="N175" s="534"/>
      <c r="O175" s="534"/>
      <c r="P175" s="534"/>
      <c r="Q175" s="534"/>
      <c r="R175" s="9"/>
    </row>
    <row r="176" spans="11:18" ht="12.75">
      <c r="K176" s="13"/>
      <c r="L176" s="132"/>
      <c r="M176" s="534"/>
      <c r="N176" s="534"/>
      <c r="O176" s="534"/>
      <c r="P176" s="534"/>
      <c r="Q176" s="534"/>
      <c r="R176" s="9"/>
    </row>
    <row r="177" spans="11:18" ht="12.75">
      <c r="K177" s="13"/>
      <c r="L177" s="132"/>
      <c r="M177" s="534"/>
      <c r="N177" s="534"/>
      <c r="O177" s="534"/>
      <c r="P177" s="534"/>
      <c r="Q177" s="534"/>
      <c r="R177" s="9"/>
    </row>
    <row r="178" spans="11:18" ht="12.75">
      <c r="K178" s="13"/>
      <c r="L178" s="132"/>
      <c r="M178" s="534"/>
      <c r="N178" s="534"/>
      <c r="O178" s="534"/>
      <c r="P178" s="534"/>
      <c r="Q178" s="534"/>
      <c r="R178" s="9"/>
    </row>
    <row r="179" spans="11:18" ht="12.75">
      <c r="K179" s="13"/>
      <c r="L179" s="132"/>
      <c r="M179" s="534"/>
      <c r="N179" s="534"/>
      <c r="O179" s="534"/>
      <c r="P179" s="534"/>
      <c r="Q179" s="534"/>
      <c r="R179" s="9"/>
    </row>
    <row r="180" spans="11:18" ht="12.75">
      <c r="K180" s="13"/>
      <c r="L180" s="132"/>
      <c r="M180" s="535"/>
      <c r="N180" s="535"/>
      <c r="O180" s="535"/>
      <c r="P180" s="535"/>
      <c r="Q180" s="535"/>
      <c r="R180" s="6"/>
    </row>
    <row r="181" spans="11:18" ht="12.75">
      <c r="K181" s="13"/>
      <c r="L181" s="13"/>
      <c r="M181" s="13"/>
      <c r="N181" s="13"/>
      <c r="O181" s="13"/>
      <c r="P181" s="13"/>
      <c r="Q181" s="13"/>
      <c r="R181" s="13"/>
    </row>
    <row r="182" spans="11:18" ht="12.75">
      <c r="K182" s="132"/>
      <c r="L182" s="132"/>
      <c r="M182" s="132"/>
      <c r="N182" s="132"/>
      <c r="O182" s="132"/>
      <c r="P182" s="132"/>
      <c r="Q182" s="132"/>
      <c r="R182" s="132"/>
    </row>
    <row r="183" spans="11:18" ht="15.75">
      <c r="K183" s="34"/>
      <c r="L183" s="34"/>
      <c r="M183" s="9"/>
      <c r="N183" s="9"/>
      <c r="O183" s="9"/>
      <c r="P183" s="9"/>
      <c r="Q183" s="9"/>
      <c r="R183" s="9"/>
    </row>
    <row r="184" spans="11:18" ht="15.75">
      <c r="K184" s="34"/>
      <c r="L184" s="34"/>
      <c r="M184" s="9"/>
      <c r="N184" s="9"/>
      <c r="O184" s="9"/>
      <c r="P184" s="9"/>
      <c r="Q184" s="9"/>
      <c r="R184" s="9"/>
    </row>
    <row r="185" spans="11:18" ht="15.75">
      <c r="K185" s="34"/>
      <c r="L185" s="34"/>
      <c r="M185" s="9"/>
      <c r="N185" s="9"/>
      <c r="O185" s="9"/>
      <c r="P185" s="9"/>
      <c r="Q185" s="9"/>
      <c r="R185" s="9"/>
    </row>
    <row r="186" spans="11:18" ht="15.75">
      <c r="K186" s="34"/>
      <c r="L186" s="34"/>
      <c r="M186" s="9"/>
      <c r="N186" s="9"/>
      <c r="O186" s="9"/>
      <c r="P186" s="9"/>
      <c r="Q186" s="9"/>
      <c r="R186" s="9"/>
    </row>
    <row r="187" spans="11:18" ht="15.75">
      <c r="K187" s="34"/>
      <c r="L187" s="34"/>
      <c r="M187" s="9"/>
      <c r="N187" s="9"/>
      <c r="O187" s="9"/>
      <c r="P187" s="9"/>
      <c r="Q187" s="9"/>
      <c r="R187" s="9"/>
    </row>
  </sheetData>
  <sheetProtection/>
  <mergeCells count="204">
    <mergeCell ref="V57:V58"/>
    <mergeCell ref="W57:X57"/>
    <mergeCell ref="B33:I33"/>
    <mergeCell ref="M137:R137"/>
    <mergeCell ref="K138:N138"/>
    <mergeCell ref="K139:N139"/>
    <mergeCell ref="M120:O120"/>
    <mergeCell ref="M121:O121"/>
    <mergeCell ref="M122:O122"/>
    <mergeCell ref="M123:R123"/>
    <mergeCell ref="K140:N140"/>
    <mergeCell ref="K141:N141"/>
    <mergeCell ref="K132:N132"/>
    <mergeCell ref="K133:N133"/>
    <mergeCell ref="K134:N134"/>
    <mergeCell ref="K127:N127"/>
    <mergeCell ref="K131:N131"/>
    <mergeCell ref="K130:N130"/>
    <mergeCell ref="Z5:AA11"/>
    <mergeCell ref="D53:E53"/>
    <mergeCell ref="V53:X53"/>
    <mergeCell ref="V51:X51"/>
    <mergeCell ref="V52:X52"/>
    <mergeCell ref="W37:X37"/>
    <mergeCell ref="M38:R38"/>
    <mergeCell ref="A42:H42"/>
    <mergeCell ref="Y46:Y49"/>
    <mergeCell ref="W47:X47"/>
    <mergeCell ref="M175:Q175"/>
    <mergeCell ref="M176:Q176"/>
    <mergeCell ref="M177:Q177"/>
    <mergeCell ref="M178:Q178"/>
    <mergeCell ref="M179:Q179"/>
    <mergeCell ref="M180:Q180"/>
    <mergeCell ref="K169:K170"/>
    <mergeCell ref="K171:K172"/>
    <mergeCell ref="M174:Q174"/>
    <mergeCell ref="K142:N142"/>
    <mergeCell ref="K143:N143"/>
    <mergeCell ref="K144:N144"/>
    <mergeCell ref="K145:N145"/>
    <mergeCell ref="K146:N146"/>
    <mergeCell ref="K147:N147"/>
    <mergeCell ref="K148:N148"/>
    <mergeCell ref="K125:N125"/>
    <mergeCell ref="K126:N126"/>
    <mergeCell ref="M118:O118"/>
    <mergeCell ref="M119:O119"/>
    <mergeCell ref="K128:N128"/>
    <mergeCell ref="K129:N129"/>
    <mergeCell ref="K124:N124"/>
    <mergeCell ref="R109:T109"/>
    <mergeCell ref="R110:T110"/>
    <mergeCell ref="K111:M112"/>
    <mergeCell ref="Q111:T111"/>
    <mergeCell ref="Q112:T112"/>
    <mergeCell ref="M117:O117"/>
    <mergeCell ref="L114:O114"/>
    <mergeCell ref="M115:O115"/>
    <mergeCell ref="M116:O116"/>
    <mergeCell ref="K109:M110"/>
    <mergeCell ref="K102:L102"/>
    <mergeCell ref="K103:L103"/>
    <mergeCell ref="K104:L104"/>
    <mergeCell ref="K106:N106"/>
    <mergeCell ref="K107:O107"/>
    <mergeCell ref="K108:O108"/>
    <mergeCell ref="L86:M86"/>
    <mergeCell ref="Q86:R86"/>
    <mergeCell ref="S86:T86"/>
    <mergeCell ref="N88:P88"/>
    <mergeCell ref="K100:L100"/>
    <mergeCell ref="K101:L101"/>
    <mergeCell ref="L84:M84"/>
    <mergeCell ref="Q84:R84"/>
    <mergeCell ref="S84:T84"/>
    <mergeCell ref="L85:M85"/>
    <mergeCell ref="Q85:R85"/>
    <mergeCell ref="S85:T85"/>
    <mergeCell ref="Q81:R81"/>
    <mergeCell ref="S81:T81"/>
    <mergeCell ref="L82:M82"/>
    <mergeCell ref="Q82:R82"/>
    <mergeCell ref="S82:T82"/>
    <mergeCell ref="L83:M83"/>
    <mergeCell ref="Q83:R83"/>
    <mergeCell ref="S83:T83"/>
    <mergeCell ref="S77:T77"/>
    <mergeCell ref="L78:M78"/>
    <mergeCell ref="S78:T78"/>
    <mergeCell ref="L79:M79"/>
    <mergeCell ref="S79:T79"/>
    <mergeCell ref="K80:K86"/>
    <mergeCell ref="L80:M80"/>
    <mergeCell ref="Q80:R80"/>
    <mergeCell ref="S80:T80"/>
    <mergeCell ref="L81:M81"/>
    <mergeCell ref="S73:T73"/>
    <mergeCell ref="L74:M74"/>
    <mergeCell ref="S74:T74"/>
    <mergeCell ref="L75:M75"/>
    <mergeCell ref="S75:T75"/>
    <mergeCell ref="L76:M76"/>
    <mergeCell ref="S76:T76"/>
    <mergeCell ref="M60:R60"/>
    <mergeCell ref="K71:N71"/>
    <mergeCell ref="K72:O72"/>
    <mergeCell ref="K73:K79"/>
    <mergeCell ref="L73:M73"/>
    <mergeCell ref="L77:M77"/>
    <mergeCell ref="W48:X48"/>
    <mergeCell ref="M49:R49"/>
    <mergeCell ref="W49:X49"/>
    <mergeCell ref="R33:S33"/>
    <mergeCell ref="W33:Y33"/>
    <mergeCell ref="R34:S34"/>
    <mergeCell ref="W34:Y34"/>
    <mergeCell ref="R35:S35"/>
    <mergeCell ref="W29:X29"/>
    <mergeCell ref="R30:S30"/>
    <mergeCell ref="R31:S31"/>
    <mergeCell ref="W31:Y31"/>
    <mergeCell ref="R32:S32"/>
    <mergeCell ref="W32:Y32"/>
    <mergeCell ref="F27:F28"/>
    <mergeCell ref="G27:G28"/>
    <mergeCell ref="H27:H28"/>
    <mergeCell ref="I27:I28"/>
    <mergeCell ref="K27:T27"/>
    <mergeCell ref="Y27:Y29"/>
    <mergeCell ref="K28:N32"/>
    <mergeCell ref="R28:S28"/>
    <mergeCell ref="W28:X28"/>
    <mergeCell ref="R29:S29"/>
    <mergeCell ref="F19:F20"/>
    <mergeCell ref="G19:G20"/>
    <mergeCell ref="H19:H20"/>
    <mergeCell ref="I19:I20"/>
    <mergeCell ref="V24:X24"/>
    <mergeCell ref="A27:A28"/>
    <mergeCell ref="B27:B28"/>
    <mergeCell ref="C27:C28"/>
    <mergeCell ref="D27:D28"/>
    <mergeCell ref="E27:E28"/>
    <mergeCell ref="K13:O13"/>
    <mergeCell ref="K14:O14"/>
    <mergeCell ref="K15:O15"/>
    <mergeCell ref="W15:X15"/>
    <mergeCell ref="K16:O16"/>
    <mergeCell ref="A19:A20"/>
    <mergeCell ref="B19:B20"/>
    <mergeCell ref="C19:C20"/>
    <mergeCell ref="D19:D20"/>
    <mergeCell ref="E19:E20"/>
    <mergeCell ref="W11:Y11"/>
    <mergeCell ref="K12:T12"/>
    <mergeCell ref="W12:Y12"/>
    <mergeCell ref="W9:Y9"/>
    <mergeCell ref="K10:M10"/>
    <mergeCell ref="N10:O10"/>
    <mergeCell ref="P10:Q10"/>
    <mergeCell ref="R10:S10"/>
    <mergeCell ref="W10:Y10"/>
    <mergeCell ref="R8:S8"/>
    <mergeCell ref="K9:M9"/>
    <mergeCell ref="N9:O9"/>
    <mergeCell ref="P9:Q9"/>
    <mergeCell ref="R9:S9"/>
    <mergeCell ref="A10:A11"/>
    <mergeCell ref="B10:B11"/>
    <mergeCell ref="C10:C11"/>
    <mergeCell ref="D10:I10"/>
    <mergeCell ref="A7:H7"/>
    <mergeCell ref="K7:M7"/>
    <mergeCell ref="N7:O7"/>
    <mergeCell ref="P7:Q7"/>
    <mergeCell ref="A8:H8"/>
    <mergeCell ref="K8:M8"/>
    <mergeCell ref="N8:O8"/>
    <mergeCell ref="P8:Q8"/>
    <mergeCell ref="Y5:Y7"/>
    <mergeCell ref="K6:M6"/>
    <mergeCell ref="N6:O6"/>
    <mergeCell ref="P6:Q6"/>
    <mergeCell ref="R6:S6"/>
    <mergeCell ref="W6:X6"/>
    <mergeCell ref="R7:S7"/>
    <mergeCell ref="W7:X7"/>
    <mergeCell ref="R4:S4"/>
    <mergeCell ref="A5:H5"/>
    <mergeCell ref="K5:M5"/>
    <mergeCell ref="N5:O5"/>
    <mergeCell ref="P5:Q5"/>
    <mergeCell ref="R5:S5"/>
    <mergeCell ref="A1:H1"/>
    <mergeCell ref="V1:AB1"/>
    <mergeCell ref="A2:H2"/>
    <mergeCell ref="V2:X2"/>
    <mergeCell ref="A3:H3"/>
    <mergeCell ref="K3:M4"/>
    <mergeCell ref="N3:S3"/>
    <mergeCell ref="A4:H4"/>
    <mergeCell ref="N4:O4"/>
    <mergeCell ref="P4:Q4"/>
  </mergeCells>
  <printOptions/>
  <pageMargins left="0" right="0" top="0" bottom="0" header="0.5118110236220472" footer="0.2362204724409449"/>
  <pageSetup horizontalDpi="600" verticalDpi="600" orientation="portrait" paperSize="9" scale="65" r:id="rId3"/>
  <rowBreaks count="1" manualBreakCount="1">
    <brk id="69" max="27" man="1"/>
  </rowBreaks>
  <colBreaks count="2" manualBreakCount="2">
    <brk id="9" max="65535" man="1"/>
    <brk id="2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3"/>
  <sheetViews>
    <sheetView tabSelected="1" view="pageBreakPreview" zoomScale="120" zoomScaleSheetLayoutView="120" zoomScalePageLayoutView="0" workbookViewId="0" topLeftCell="A6">
      <selection activeCell="C29" sqref="C29:E29"/>
    </sheetView>
  </sheetViews>
  <sheetFormatPr defaultColWidth="9.33203125" defaultRowHeight="12.75" outlineLevelRow="1" outlineLevelCol="1"/>
  <cols>
    <col min="1" max="2" width="6" style="0" customWidth="1"/>
    <col min="5" max="5" width="11.66015625" style="0" customWidth="1"/>
    <col min="6" max="6" width="11.5" style="0" customWidth="1"/>
    <col min="7" max="7" width="11.5" style="0" hidden="1" customWidth="1" outlineLevel="1"/>
    <col min="8" max="8" width="11" style="0" customWidth="1" collapsed="1"/>
    <col min="9" max="9" width="13" style="0" customWidth="1"/>
    <col min="10" max="10" width="14.16015625" style="0" hidden="1" customWidth="1" outlineLevel="1"/>
    <col min="11" max="11" width="9.33203125" style="0" customWidth="1" collapsed="1"/>
    <col min="12" max="12" width="13.33203125" style="0" customWidth="1"/>
    <col min="13" max="13" width="17.83203125" style="0" customWidth="1"/>
    <col min="14" max="14" width="13" style="0" customWidth="1"/>
  </cols>
  <sheetData>
    <row r="1" spans="6:12" ht="12.75" hidden="1" outlineLevel="1">
      <c r="F1" s="722" t="s">
        <v>190</v>
      </c>
      <c r="G1" s="722"/>
      <c r="H1" s="722"/>
      <c r="I1" s="722"/>
      <c r="J1" s="722"/>
      <c r="K1" s="722"/>
      <c r="L1" s="722"/>
    </row>
    <row r="2" spans="9:13" ht="15.75" hidden="1" outlineLevel="1">
      <c r="I2" s="3"/>
      <c r="J2" s="3"/>
      <c r="K2" s="723" t="s">
        <v>91</v>
      </c>
      <c r="L2" s="723"/>
      <c r="M2" s="723"/>
    </row>
    <row r="3" spans="9:13" ht="15.75" hidden="1" outlineLevel="1">
      <c r="I3" s="724" t="s">
        <v>100</v>
      </c>
      <c r="J3" s="724"/>
      <c r="K3" s="724"/>
      <c r="L3" s="724"/>
      <c r="M3" s="724"/>
    </row>
    <row r="4" spans="9:13" ht="15.75" hidden="1" outlineLevel="1">
      <c r="I4" s="725" t="s">
        <v>101</v>
      </c>
      <c r="J4" s="725"/>
      <c r="K4" s="725"/>
      <c r="L4" s="725"/>
      <c r="M4" s="725"/>
    </row>
    <row r="5" spans="9:13" ht="15.75" hidden="1" outlineLevel="1">
      <c r="I5" s="3"/>
      <c r="J5" s="3"/>
      <c r="K5" s="725"/>
      <c r="L5" s="725"/>
      <c r="M5" s="3"/>
    </row>
    <row r="6" spans="9:13" ht="15.75" outlineLevel="1">
      <c r="I6" s="726" t="s">
        <v>91</v>
      </c>
      <c r="J6" s="726"/>
      <c r="K6" s="726"/>
      <c r="L6" s="726"/>
      <c r="M6" s="726"/>
    </row>
    <row r="7" spans="9:13" ht="15.75" customHeight="1" outlineLevel="1">
      <c r="I7" s="274" t="s">
        <v>239</v>
      </c>
      <c r="J7" s="274"/>
      <c r="K7" s="274"/>
      <c r="L7" s="274"/>
      <c r="M7" s="274"/>
    </row>
    <row r="8" spans="9:13" ht="15.75" outlineLevel="1">
      <c r="I8" s="726" t="s">
        <v>237</v>
      </c>
      <c r="J8" s="726"/>
      <c r="K8" s="726"/>
      <c r="L8" s="726"/>
      <c r="M8" s="726"/>
    </row>
    <row r="9" spans="9:13" ht="15.75" outlineLevel="1">
      <c r="I9" s="3"/>
      <c r="J9" s="3"/>
      <c r="K9" s="274"/>
      <c r="L9" s="267"/>
      <c r="M9" s="3"/>
    </row>
    <row r="10" spans="9:13" ht="15.75" outlineLevel="1">
      <c r="I10" s="276" t="s">
        <v>218</v>
      </c>
      <c r="J10" s="3"/>
      <c r="K10" s="274"/>
      <c r="L10" s="267"/>
      <c r="M10" s="3"/>
    </row>
    <row r="11" ht="15.75">
      <c r="I11" s="412" t="s">
        <v>240</v>
      </c>
    </row>
    <row r="13" spans="1:13" ht="16.5">
      <c r="A13" s="727" t="s">
        <v>92</v>
      </c>
      <c r="B13" s="727"/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</row>
    <row r="14" spans="1:13" ht="39" customHeight="1">
      <c r="A14" s="728" t="s">
        <v>238</v>
      </c>
      <c r="B14" s="728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</row>
    <row r="15" spans="1:13" ht="18" customHeight="1">
      <c r="A15" s="341"/>
      <c r="B15" s="341"/>
      <c r="C15" s="729" t="s">
        <v>191</v>
      </c>
      <c r="D15" s="729"/>
      <c r="E15" s="729"/>
      <c r="F15" s="729"/>
      <c r="G15" s="729"/>
      <c r="H15" s="729"/>
      <c r="I15" s="729"/>
      <c r="J15" s="729"/>
      <c r="K15" s="729"/>
      <c r="L15" s="341"/>
      <c r="M15" s="341"/>
    </row>
    <row r="16" spans="1:13" ht="25.5" customHeight="1">
      <c r="A16" s="730" t="s">
        <v>25</v>
      </c>
      <c r="B16" s="731" t="s">
        <v>94</v>
      </c>
      <c r="C16" s="732"/>
      <c r="D16" s="732"/>
      <c r="E16" s="733"/>
      <c r="F16" s="731" t="s">
        <v>206</v>
      </c>
      <c r="G16" s="732"/>
      <c r="H16" s="733"/>
      <c r="I16" s="740" t="s">
        <v>204</v>
      </c>
      <c r="J16" s="342"/>
      <c r="K16" s="731" t="s">
        <v>207</v>
      </c>
      <c r="L16" s="733"/>
      <c r="M16" s="743" t="s">
        <v>241</v>
      </c>
    </row>
    <row r="17" spans="1:13" ht="34.5" customHeight="1">
      <c r="A17" s="730"/>
      <c r="B17" s="734"/>
      <c r="C17" s="735"/>
      <c r="D17" s="735"/>
      <c r="E17" s="736"/>
      <c r="F17" s="734"/>
      <c r="G17" s="735"/>
      <c r="H17" s="736"/>
      <c r="I17" s="741"/>
      <c r="J17" s="343"/>
      <c r="K17" s="734"/>
      <c r="L17" s="736"/>
      <c r="M17" s="744"/>
    </row>
    <row r="18" spans="1:13" ht="13.5" customHeight="1">
      <c r="A18" s="730"/>
      <c r="B18" s="737"/>
      <c r="C18" s="738"/>
      <c r="D18" s="738"/>
      <c r="E18" s="739"/>
      <c r="F18" s="737"/>
      <c r="G18" s="738"/>
      <c r="H18" s="739"/>
      <c r="I18" s="742"/>
      <c r="J18" s="344"/>
      <c r="K18" s="737"/>
      <c r="L18" s="739"/>
      <c r="M18" s="420">
        <v>2016</v>
      </c>
    </row>
    <row r="19" spans="1:13" ht="18.75">
      <c r="A19" s="331">
        <v>1</v>
      </c>
      <c r="B19" s="745" t="s">
        <v>211</v>
      </c>
      <c r="C19" s="746"/>
      <c r="D19" s="746"/>
      <c r="E19" s="746"/>
      <c r="F19" s="746"/>
      <c r="G19" s="746"/>
      <c r="H19" s="746"/>
      <c r="I19" s="746"/>
      <c r="J19" s="746"/>
      <c r="K19" s="746"/>
      <c r="L19" s="747"/>
      <c r="M19" s="419" t="s">
        <v>234</v>
      </c>
    </row>
    <row r="20" spans="1:14" ht="19.5" customHeight="1">
      <c r="A20" s="331">
        <v>1.1</v>
      </c>
      <c r="B20" s="748" t="s">
        <v>95</v>
      </c>
      <c r="C20" s="751" t="s">
        <v>11</v>
      </c>
      <c r="D20" s="751"/>
      <c r="E20" s="751"/>
      <c r="F20" s="752">
        <f>'ель новог 2019'!D29</f>
        <v>7.083333333333334</v>
      </c>
      <c r="G20" s="752"/>
      <c r="H20" s="752"/>
      <c r="I20" s="405">
        <f aca="true" t="shared" si="0" ref="I20:I25">F20*20/100</f>
        <v>1.416666666666667</v>
      </c>
      <c r="J20" s="405"/>
      <c r="K20" s="753">
        <f aca="true" t="shared" si="1" ref="K20:K25">F20+I20</f>
        <v>8.5</v>
      </c>
      <c r="L20" s="753"/>
      <c r="M20" s="415">
        <v>5.5</v>
      </c>
      <c r="N20" s="414">
        <f>K20-M20</f>
        <v>3</v>
      </c>
    </row>
    <row r="21" spans="1:14" ht="19.5">
      <c r="A21" s="331">
        <v>1.2</v>
      </c>
      <c r="B21" s="749"/>
      <c r="C21" s="751" t="s">
        <v>96</v>
      </c>
      <c r="D21" s="751"/>
      <c r="E21" s="751"/>
      <c r="F21" s="752">
        <f>'ель новог 2019'!E29</f>
        <v>8.75</v>
      </c>
      <c r="G21" s="752"/>
      <c r="H21" s="752"/>
      <c r="I21" s="405">
        <f t="shared" si="0"/>
        <v>1.75</v>
      </c>
      <c r="J21" s="405"/>
      <c r="K21" s="753">
        <f t="shared" si="1"/>
        <v>10.5</v>
      </c>
      <c r="L21" s="753"/>
      <c r="M21" s="415">
        <v>7.5</v>
      </c>
      <c r="N21" s="414">
        <f aca="true" t="shared" si="2" ref="N21:N40">K21-M21</f>
        <v>3</v>
      </c>
    </row>
    <row r="22" spans="1:14" ht="19.5">
      <c r="A22" s="331">
        <v>1.3</v>
      </c>
      <c r="B22" s="749"/>
      <c r="C22" s="751" t="s">
        <v>97</v>
      </c>
      <c r="D22" s="751"/>
      <c r="E22" s="751"/>
      <c r="F22" s="752">
        <f>'ель новог 2019'!F29</f>
        <v>11.25</v>
      </c>
      <c r="G22" s="752"/>
      <c r="H22" s="752"/>
      <c r="I22" s="405">
        <f t="shared" si="0"/>
        <v>2.25</v>
      </c>
      <c r="J22" s="405"/>
      <c r="K22" s="753">
        <f t="shared" si="1"/>
        <v>13.5</v>
      </c>
      <c r="L22" s="753"/>
      <c r="M22" s="415">
        <v>10</v>
      </c>
      <c r="N22" s="414">
        <f t="shared" si="2"/>
        <v>3.5</v>
      </c>
    </row>
    <row r="23" spans="1:14" ht="19.5">
      <c r="A23" s="331">
        <v>1.4</v>
      </c>
      <c r="B23" s="749"/>
      <c r="C23" s="754" t="s">
        <v>98</v>
      </c>
      <c r="D23" s="754"/>
      <c r="E23" s="754"/>
      <c r="F23" s="752">
        <f>'ель новог 2019'!G29</f>
        <v>16.666666666666668</v>
      </c>
      <c r="G23" s="752"/>
      <c r="H23" s="752"/>
      <c r="I23" s="405">
        <f t="shared" si="0"/>
        <v>3.333333333333334</v>
      </c>
      <c r="J23" s="405"/>
      <c r="K23" s="753">
        <f t="shared" si="1"/>
        <v>20</v>
      </c>
      <c r="L23" s="753"/>
      <c r="M23" s="415">
        <v>16</v>
      </c>
      <c r="N23" s="414">
        <f t="shared" si="2"/>
        <v>4</v>
      </c>
    </row>
    <row r="24" spans="1:14" ht="19.5">
      <c r="A24" s="331">
        <v>1.5</v>
      </c>
      <c r="B24" s="749"/>
      <c r="C24" s="754" t="s">
        <v>99</v>
      </c>
      <c r="D24" s="754"/>
      <c r="E24" s="754"/>
      <c r="F24" s="752">
        <f>'ель новог 2019'!H29</f>
        <v>20.833333333333336</v>
      </c>
      <c r="G24" s="752"/>
      <c r="H24" s="752"/>
      <c r="I24" s="405">
        <f t="shared" si="0"/>
        <v>4.166666666666668</v>
      </c>
      <c r="J24" s="405"/>
      <c r="K24" s="753">
        <f t="shared" si="1"/>
        <v>25.000000000000004</v>
      </c>
      <c r="L24" s="753"/>
      <c r="M24" s="415">
        <v>21</v>
      </c>
      <c r="N24" s="414">
        <f t="shared" si="2"/>
        <v>4.0000000000000036</v>
      </c>
    </row>
    <row r="25" spans="1:14" ht="19.5">
      <c r="A25" s="331">
        <v>1.6</v>
      </c>
      <c r="B25" s="750"/>
      <c r="C25" s="754" t="s">
        <v>209</v>
      </c>
      <c r="D25" s="754"/>
      <c r="E25" s="754"/>
      <c r="F25" s="752">
        <f>'ель новог 2019'!I29</f>
        <v>37.91666666666667</v>
      </c>
      <c r="G25" s="752"/>
      <c r="H25" s="752"/>
      <c r="I25" s="405">
        <f t="shared" si="0"/>
        <v>7.583333333333335</v>
      </c>
      <c r="J25" s="405"/>
      <c r="K25" s="753">
        <f t="shared" si="1"/>
        <v>45.50000000000001</v>
      </c>
      <c r="L25" s="753"/>
      <c r="M25" s="415">
        <v>0</v>
      </c>
      <c r="N25" s="414">
        <f t="shared" si="2"/>
        <v>45.50000000000001</v>
      </c>
    </row>
    <row r="26" spans="1:14" ht="18.75">
      <c r="A26" s="345">
        <v>2</v>
      </c>
      <c r="B26" s="4"/>
      <c r="C26" s="745" t="s">
        <v>212</v>
      </c>
      <c r="D26" s="746"/>
      <c r="E26" s="746"/>
      <c r="F26" s="746"/>
      <c r="G26" s="746"/>
      <c r="H26" s="746"/>
      <c r="I26" s="746"/>
      <c r="J26" s="746"/>
      <c r="K26" s="746"/>
      <c r="L26" s="746"/>
      <c r="M26" s="415"/>
      <c r="N26" s="414"/>
    </row>
    <row r="27" spans="1:14" ht="18.75" customHeight="1">
      <c r="A27" s="346">
        <v>2.1</v>
      </c>
      <c r="B27" s="748" t="s">
        <v>95</v>
      </c>
      <c r="C27" s="751" t="s">
        <v>11</v>
      </c>
      <c r="D27" s="751"/>
      <c r="E27" s="751"/>
      <c r="F27" s="752">
        <f>'ель новог 2019'!D36</f>
        <v>8.75</v>
      </c>
      <c r="G27" s="752"/>
      <c r="H27" s="752"/>
      <c r="I27" s="405">
        <f>F27*20/100</f>
        <v>1.75</v>
      </c>
      <c r="J27" s="405"/>
      <c r="K27" s="755">
        <f>'ель новог 2019'!D40</f>
        <v>10.5</v>
      </c>
      <c r="L27" s="755"/>
      <c r="M27" s="415">
        <v>8</v>
      </c>
      <c r="N27" s="414">
        <f t="shared" si="2"/>
        <v>2.5</v>
      </c>
    </row>
    <row r="28" spans="1:14" ht="18.75">
      <c r="A28" s="346">
        <v>2.2</v>
      </c>
      <c r="B28" s="749"/>
      <c r="C28" s="751" t="s">
        <v>96</v>
      </c>
      <c r="D28" s="751"/>
      <c r="E28" s="751"/>
      <c r="F28" s="752">
        <f>'ель новог 2019'!E36</f>
        <v>10.416666666666668</v>
      </c>
      <c r="G28" s="752"/>
      <c r="H28" s="752"/>
      <c r="I28" s="405">
        <f>F28*20/100</f>
        <v>2.083333333333334</v>
      </c>
      <c r="J28" s="405"/>
      <c r="K28" s="755">
        <f>'ель новог 2019'!E40</f>
        <v>12.5</v>
      </c>
      <c r="L28" s="755"/>
      <c r="M28" s="415">
        <v>10</v>
      </c>
      <c r="N28" s="414">
        <f t="shared" si="2"/>
        <v>2.5</v>
      </c>
    </row>
    <row r="29" spans="1:14" ht="18.75">
      <c r="A29" s="346">
        <v>2.3</v>
      </c>
      <c r="B29" s="749"/>
      <c r="C29" s="751" t="s">
        <v>97</v>
      </c>
      <c r="D29" s="751"/>
      <c r="E29" s="751"/>
      <c r="F29" s="752">
        <f>'ель новог 2019'!F36</f>
        <v>14.166666666666668</v>
      </c>
      <c r="G29" s="752"/>
      <c r="H29" s="752"/>
      <c r="I29" s="405">
        <f>F29*20/100</f>
        <v>2.833333333333334</v>
      </c>
      <c r="J29" s="405"/>
      <c r="K29" s="755">
        <f>'ель новог 2019'!F40</f>
        <v>17</v>
      </c>
      <c r="L29" s="755"/>
      <c r="M29" s="415">
        <v>12</v>
      </c>
      <c r="N29" s="414">
        <f t="shared" si="2"/>
        <v>5</v>
      </c>
    </row>
    <row r="30" spans="1:14" ht="18.75">
      <c r="A30" s="346">
        <v>2.4</v>
      </c>
      <c r="B30" s="749"/>
      <c r="C30" s="754" t="s">
        <v>98</v>
      </c>
      <c r="D30" s="754"/>
      <c r="E30" s="754"/>
      <c r="F30" s="752">
        <f>'ель новог 2019'!G36</f>
        <v>22.916666666666668</v>
      </c>
      <c r="G30" s="752"/>
      <c r="H30" s="752"/>
      <c r="I30" s="405">
        <f>F30*20/100</f>
        <v>4.583333333333334</v>
      </c>
      <c r="J30" s="405"/>
      <c r="K30" s="755">
        <f>'ель новог 2019'!G40</f>
        <v>27.5</v>
      </c>
      <c r="L30" s="755"/>
      <c r="M30" s="415">
        <v>24</v>
      </c>
      <c r="N30" s="414">
        <f t="shared" si="2"/>
        <v>3.5</v>
      </c>
    </row>
    <row r="31" spans="1:14" ht="18.75">
      <c r="A31" s="346">
        <v>2.5</v>
      </c>
      <c r="B31" s="749"/>
      <c r="C31" s="754" t="s">
        <v>99</v>
      </c>
      <c r="D31" s="754"/>
      <c r="E31" s="754"/>
      <c r="F31" s="752">
        <f>'ель новог 2019'!H36</f>
        <v>29.166666666666668</v>
      </c>
      <c r="G31" s="752"/>
      <c r="H31" s="752"/>
      <c r="I31" s="405">
        <f>F31*20/100</f>
        <v>5.833333333333334</v>
      </c>
      <c r="J31" s="405"/>
      <c r="K31" s="755">
        <f>'ель новог 2019'!H40</f>
        <v>35</v>
      </c>
      <c r="L31" s="755"/>
      <c r="M31" s="415">
        <v>0</v>
      </c>
      <c r="N31" s="414">
        <f t="shared" si="2"/>
        <v>35</v>
      </c>
    </row>
    <row r="32" spans="1:14" ht="18.75">
      <c r="A32" s="345">
        <v>3</v>
      </c>
      <c r="B32" s="750"/>
      <c r="C32" s="745" t="s">
        <v>213</v>
      </c>
      <c r="D32" s="746"/>
      <c r="E32" s="746"/>
      <c r="F32" s="746"/>
      <c r="G32" s="746"/>
      <c r="H32" s="746"/>
      <c r="I32" s="746"/>
      <c r="J32" s="746"/>
      <c r="K32" s="746"/>
      <c r="L32" s="746"/>
      <c r="M32" s="415"/>
      <c r="N32" s="414">
        <f t="shared" si="2"/>
        <v>0</v>
      </c>
    </row>
    <row r="33" spans="1:14" ht="15.75" customHeight="1">
      <c r="A33" s="346">
        <v>3.1</v>
      </c>
      <c r="B33" s="756" t="s">
        <v>95</v>
      </c>
      <c r="C33" s="751" t="s">
        <v>11</v>
      </c>
      <c r="D33" s="751"/>
      <c r="E33" s="751"/>
      <c r="F33" s="752">
        <f>'ель новог 2019'!D45</f>
        <v>9.166666666666668</v>
      </c>
      <c r="G33" s="752"/>
      <c r="H33" s="752"/>
      <c r="I33" s="405">
        <f>F33*20/100</f>
        <v>1.8333333333333337</v>
      </c>
      <c r="J33" s="405"/>
      <c r="K33" s="753">
        <f>'ель новог 2019'!D49</f>
        <v>11</v>
      </c>
      <c r="L33" s="753"/>
      <c r="M33" s="415">
        <v>8</v>
      </c>
      <c r="N33" s="414">
        <f t="shared" si="2"/>
        <v>3</v>
      </c>
    </row>
    <row r="34" spans="1:14" ht="19.5">
      <c r="A34" s="346">
        <v>3.2</v>
      </c>
      <c r="B34" s="756"/>
      <c r="C34" s="751" t="s">
        <v>96</v>
      </c>
      <c r="D34" s="751"/>
      <c r="E34" s="751"/>
      <c r="F34" s="752">
        <f>'ель новог 2019'!E45</f>
        <v>11.666666666666668</v>
      </c>
      <c r="G34" s="752"/>
      <c r="H34" s="752"/>
      <c r="I34" s="405">
        <f>F34*20/100</f>
        <v>2.333333333333334</v>
      </c>
      <c r="J34" s="405"/>
      <c r="K34" s="753">
        <f>'ель новог 2019'!E49</f>
        <v>14</v>
      </c>
      <c r="L34" s="753"/>
      <c r="M34" s="415">
        <v>10</v>
      </c>
      <c r="N34" s="414">
        <f t="shared" si="2"/>
        <v>4</v>
      </c>
    </row>
    <row r="35" spans="1:14" ht="19.5">
      <c r="A35" s="346">
        <v>3.3</v>
      </c>
      <c r="B35" s="756"/>
      <c r="C35" s="751" t="s">
        <v>97</v>
      </c>
      <c r="D35" s="751"/>
      <c r="E35" s="751"/>
      <c r="F35" s="752">
        <f>'ель новог 2019'!F45</f>
        <v>16.666666666666668</v>
      </c>
      <c r="G35" s="752"/>
      <c r="H35" s="752"/>
      <c r="I35" s="405">
        <f>F35*20/100</f>
        <v>3.333333333333334</v>
      </c>
      <c r="J35" s="405"/>
      <c r="K35" s="753">
        <f>'ель новог 2019'!F49</f>
        <v>20</v>
      </c>
      <c r="L35" s="753"/>
      <c r="M35" s="415">
        <v>13</v>
      </c>
      <c r="N35" s="414">
        <f t="shared" si="2"/>
        <v>7</v>
      </c>
    </row>
    <row r="36" spans="1:14" ht="19.5">
      <c r="A36" s="346">
        <v>3.4</v>
      </c>
      <c r="B36" s="756"/>
      <c r="C36" s="754" t="s">
        <v>98</v>
      </c>
      <c r="D36" s="754"/>
      <c r="E36" s="754"/>
      <c r="F36" s="752">
        <f>'ель новог 2019'!G45</f>
        <v>25.833333333333336</v>
      </c>
      <c r="G36" s="752"/>
      <c r="H36" s="752"/>
      <c r="I36" s="405">
        <f>F36*20/100</f>
        <v>5.166666666666668</v>
      </c>
      <c r="J36" s="405"/>
      <c r="K36" s="753">
        <f>'ель новог 2019'!G49</f>
        <v>31</v>
      </c>
      <c r="L36" s="753"/>
      <c r="M36" s="415">
        <v>22</v>
      </c>
      <c r="N36" s="414">
        <f t="shared" si="2"/>
        <v>9</v>
      </c>
    </row>
    <row r="37" spans="1:14" ht="19.5">
      <c r="A37" s="346">
        <v>3.5</v>
      </c>
      <c r="B37" s="756"/>
      <c r="C37" s="754" t="s">
        <v>99</v>
      </c>
      <c r="D37" s="754"/>
      <c r="E37" s="754"/>
      <c r="F37" s="752">
        <f>'ель новог 2019'!H45</f>
        <v>34.16666666666667</v>
      </c>
      <c r="G37" s="752"/>
      <c r="H37" s="752"/>
      <c r="I37" s="405">
        <f>F37*20/100</f>
        <v>6.833333333333335</v>
      </c>
      <c r="J37" s="405"/>
      <c r="K37" s="753">
        <f>'ель новог 2019'!H49</f>
        <v>41</v>
      </c>
      <c r="L37" s="753"/>
      <c r="M37" s="415">
        <v>32</v>
      </c>
      <c r="N37" s="414">
        <f t="shared" si="2"/>
        <v>9</v>
      </c>
    </row>
    <row r="38" spans="1:14" ht="18.75">
      <c r="A38" s="346">
        <v>4</v>
      </c>
      <c r="B38" s="757" t="s">
        <v>189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415"/>
      <c r="N38" s="414"/>
    </row>
    <row r="39" spans="1:14" ht="18.75">
      <c r="A39" s="346">
        <v>4.1</v>
      </c>
      <c r="B39" s="758" t="s">
        <v>185</v>
      </c>
      <c r="C39" s="758"/>
      <c r="D39" s="758"/>
      <c r="E39" s="758"/>
      <c r="F39" s="759">
        <f>'букеты новог'!D34</f>
        <v>4.166666666666667</v>
      </c>
      <c r="G39" s="759"/>
      <c r="H39" s="759"/>
      <c r="I39" s="410">
        <f>'букеты новог'!D35</f>
        <v>0.833333333333333</v>
      </c>
      <c r="J39" s="410"/>
      <c r="K39" s="760">
        <f>I39+F39</f>
        <v>5</v>
      </c>
      <c r="L39" s="760"/>
      <c r="M39" s="415">
        <v>3</v>
      </c>
      <c r="N39" s="414">
        <f t="shared" si="2"/>
        <v>2</v>
      </c>
    </row>
    <row r="40" spans="1:14" ht="18.75">
      <c r="A40" s="331">
        <v>4.2</v>
      </c>
      <c r="B40" s="758" t="s">
        <v>186</v>
      </c>
      <c r="C40" s="758"/>
      <c r="D40" s="758"/>
      <c r="E40" s="758"/>
      <c r="F40" s="761">
        <f>'букеты новог'!E34</f>
        <v>4.583333333333334</v>
      </c>
      <c r="G40" s="761"/>
      <c r="H40" s="761"/>
      <c r="I40" s="411">
        <f>'букеты новог'!E35</f>
        <v>0.9166666666666661</v>
      </c>
      <c r="J40" s="406"/>
      <c r="K40" s="760">
        <f>F40+I40</f>
        <v>5.5</v>
      </c>
      <c r="L40" s="760"/>
      <c r="M40" s="415">
        <v>3.5</v>
      </c>
      <c r="N40" s="414">
        <f t="shared" si="2"/>
        <v>2</v>
      </c>
    </row>
    <row r="41" spans="1:15" ht="9.75" customHeight="1" thickBot="1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3"/>
      <c r="O41" s="333"/>
    </row>
    <row r="42" spans="1:15" ht="45.75" customHeight="1" thickBot="1">
      <c r="A42" s="333"/>
      <c r="B42" s="762" t="s">
        <v>214</v>
      </c>
      <c r="C42" s="763"/>
      <c r="D42" s="764"/>
      <c r="E42" s="765" t="s">
        <v>149</v>
      </c>
      <c r="F42" s="764"/>
      <c r="G42" s="334"/>
      <c r="H42" s="335" t="s">
        <v>210</v>
      </c>
      <c r="I42" s="766" t="s">
        <v>150</v>
      </c>
      <c r="J42" s="767"/>
      <c r="K42" s="768"/>
      <c r="L42" s="421" t="s">
        <v>233</v>
      </c>
      <c r="M42" s="422"/>
      <c r="N42" s="333"/>
      <c r="O42" s="333"/>
    </row>
    <row r="43" spans="1:15" ht="19.5" thickBot="1">
      <c r="A43" s="336"/>
      <c r="B43" s="769" t="s">
        <v>151</v>
      </c>
      <c r="C43" s="770"/>
      <c r="D43" s="770"/>
      <c r="E43" s="771">
        <f>I43/1.2</f>
        <v>41.66666666666667</v>
      </c>
      <c r="F43" s="771"/>
      <c r="G43" s="407"/>
      <c r="H43" s="407">
        <f>I43-E43</f>
        <v>8.333333333333329</v>
      </c>
      <c r="I43" s="771">
        <v>50</v>
      </c>
      <c r="J43" s="771"/>
      <c r="K43" s="772"/>
      <c r="L43" s="416">
        <v>45</v>
      </c>
      <c r="M43" s="413">
        <f>I43-L43</f>
        <v>5</v>
      </c>
      <c r="N43" s="333"/>
      <c r="O43" s="333"/>
    </row>
    <row r="44" spans="1:15" ht="19.5" thickBot="1">
      <c r="A44" s="336"/>
      <c r="B44" s="773" t="s">
        <v>152</v>
      </c>
      <c r="C44" s="774"/>
      <c r="D44" s="774"/>
      <c r="E44" s="771">
        <f>I44/1.2</f>
        <v>46.25</v>
      </c>
      <c r="F44" s="771"/>
      <c r="G44" s="408"/>
      <c r="H44" s="407">
        <f aca="true" t="shared" si="3" ref="H44:H66">I44-E44</f>
        <v>9.25</v>
      </c>
      <c r="I44" s="492">
        <f>I43+5.5</f>
        <v>55.5</v>
      </c>
      <c r="J44" s="492"/>
      <c r="K44" s="775"/>
      <c r="L44" s="416">
        <v>48</v>
      </c>
      <c r="M44" s="413">
        <f aca="true" t="shared" si="4" ref="M44:M66">I44-L44</f>
        <v>7.5</v>
      </c>
      <c r="N44" s="333"/>
      <c r="O44" s="333"/>
    </row>
    <row r="45" spans="1:15" ht="19.5" thickBot="1">
      <c r="A45" s="336"/>
      <c r="B45" s="773" t="s">
        <v>153</v>
      </c>
      <c r="C45" s="774"/>
      <c r="D45" s="774"/>
      <c r="E45" s="771">
        <f>I45/1.2</f>
        <v>50.41666666666667</v>
      </c>
      <c r="F45" s="771"/>
      <c r="G45" s="408"/>
      <c r="H45" s="407">
        <f t="shared" si="3"/>
        <v>10.083333333333329</v>
      </c>
      <c r="I45" s="492">
        <f aca="true" t="shared" si="5" ref="I45:I66">I44+5</f>
        <v>60.5</v>
      </c>
      <c r="J45" s="492"/>
      <c r="K45" s="775"/>
      <c r="L45" s="416">
        <v>51</v>
      </c>
      <c r="M45" s="413">
        <f t="shared" si="4"/>
        <v>9.5</v>
      </c>
      <c r="N45" s="333"/>
      <c r="O45" s="333"/>
    </row>
    <row r="46" spans="1:15" ht="19.5" thickBot="1">
      <c r="A46" s="336"/>
      <c r="B46" s="773" t="s">
        <v>154</v>
      </c>
      <c r="C46" s="774"/>
      <c r="D46" s="774"/>
      <c r="E46" s="771">
        <f>I46/1.2</f>
        <v>54.583333333333336</v>
      </c>
      <c r="F46" s="771"/>
      <c r="G46" s="408"/>
      <c r="H46" s="407">
        <f t="shared" si="3"/>
        <v>10.916666666666664</v>
      </c>
      <c r="I46" s="492">
        <f t="shared" si="5"/>
        <v>65.5</v>
      </c>
      <c r="J46" s="492"/>
      <c r="K46" s="775"/>
      <c r="L46" s="416">
        <v>54</v>
      </c>
      <c r="M46" s="413">
        <f t="shared" si="4"/>
        <v>11.5</v>
      </c>
      <c r="N46" s="333"/>
      <c r="O46" s="333"/>
    </row>
    <row r="47" spans="1:15" ht="19.5" thickBot="1">
      <c r="A47" s="336"/>
      <c r="B47" s="773" t="s">
        <v>155</v>
      </c>
      <c r="C47" s="774"/>
      <c r="D47" s="774"/>
      <c r="E47" s="771">
        <f>I47/1.2</f>
        <v>58.75</v>
      </c>
      <c r="F47" s="771"/>
      <c r="G47" s="408"/>
      <c r="H47" s="407">
        <f t="shared" si="3"/>
        <v>11.75</v>
      </c>
      <c r="I47" s="492">
        <f t="shared" si="5"/>
        <v>70.5</v>
      </c>
      <c r="J47" s="492"/>
      <c r="K47" s="775"/>
      <c r="L47" s="416">
        <v>57</v>
      </c>
      <c r="M47" s="413">
        <f t="shared" si="4"/>
        <v>13.5</v>
      </c>
      <c r="N47" s="333"/>
      <c r="O47" s="333"/>
    </row>
    <row r="48" spans="1:15" ht="19.5" thickBot="1">
      <c r="A48" s="336"/>
      <c r="B48" s="773" t="s">
        <v>156</v>
      </c>
      <c r="C48" s="774"/>
      <c r="D48" s="774"/>
      <c r="E48" s="771">
        <f aca="true" t="shared" si="6" ref="E48:E66">I48/1.2</f>
        <v>62.91666666666667</v>
      </c>
      <c r="F48" s="771"/>
      <c r="G48" s="408"/>
      <c r="H48" s="407">
        <f t="shared" si="3"/>
        <v>12.583333333333329</v>
      </c>
      <c r="I48" s="492">
        <f t="shared" si="5"/>
        <v>75.5</v>
      </c>
      <c r="J48" s="492"/>
      <c r="K48" s="775"/>
      <c r="L48" s="416">
        <v>60</v>
      </c>
      <c r="M48" s="413">
        <f t="shared" si="4"/>
        <v>15.5</v>
      </c>
      <c r="N48" s="333"/>
      <c r="O48" s="333"/>
    </row>
    <row r="49" spans="1:15" ht="19.5" thickBot="1">
      <c r="A49" s="336"/>
      <c r="B49" s="773" t="s">
        <v>157</v>
      </c>
      <c r="C49" s="774"/>
      <c r="D49" s="774"/>
      <c r="E49" s="771">
        <f t="shared" si="6"/>
        <v>67.08333333333334</v>
      </c>
      <c r="F49" s="771"/>
      <c r="G49" s="408"/>
      <c r="H49" s="407">
        <f t="shared" si="3"/>
        <v>13.416666666666657</v>
      </c>
      <c r="I49" s="492">
        <f t="shared" si="5"/>
        <v>80.5</v>
      </c>
      <c r="J49" s="492"/>
      <c r="K49" s="775"/>
      <c r="L49" s="416">
        <v>63</v>
      </c>
      <c r="M49" s="413">
        <f t="shared" si="4"/>
        <v>17.5</v>
      </c>
      <c r="N49" s="333"/>
      <c r="O49" s="333"/>
    </row>
    <row r="50" spans="1:15" ht="19.5" thickBot="1">
      <c r="A50" s="336"/>
      <c r="B50" s="773" t="s">
        <v>158</v>
      </c>
      <c r="C50" s="774"/>
      <c r="D50" s="774"/>
      <c r="E50" s="771">
        <f t="shared" si="6"/>
        <v>71.25</v>
      </c>
      <c r="F50" s="771"/>
      <c r="G50" s="408"/>
      <c r="H50" s="407">
        <f t="shared" si="3"/>
        <v>14.25</v>
      </c>
      <c r="I50" s="492">
        <f t="shared" si="5"/>
        <v>85.5</v>
      </c>
      <c r="J50" s="492"/>
      <c r="K50" s="775"/>
      <c r="L50" s="416">
        <v>66</v>
      </c>
      <c r="M50" s="413">
        <f t="shared" si="4"/>
        <v>19.5</v>
      </c>
      <c r="N50" s="333"/>
      <c r="O50" s="333"/>
    </row>
    <row r="51" spans="1:15" ht="19.5" thickBot="1">
      <c r="A51" s="336"/>
      <c r="B51" s="773" t="s">
        <v>159</v>
      </c>
      <c r="C51" s="774"/>
      <c r="D51" s="774"/>
      <c r="E51" s="771">
        <f t="shared" si="6"/>
        <v>75.41666666666667</v>
      </c>
      <c r="F51" s="771"/>
      <c r="G51" s="408"/>
      <c r="H51" s="407">
        <f t="shared" si="3"/>
        <v>15.083333333333329</v>
      </c>
      <c r="I51" s="492">
        <f t="shared" si="5"/>
        <v>90.5</v>
      </c>
      <c r="J51" s="492"/>
      <c r="K51" s="775"/>
      <c r="L51" s="416">
        <v>69</v>
      </c>
      <c r="M51" s="413">
        <f t="shared" si="4"/>
        <v>21.5</v>
      </c>
      <c r="N51" s="333"/>
      <c r="O51" s="333"/>
    </row>
    <row r="52" spans="1:15" ht="19.5" thickBot="1">
      <c r="A52" s="336"/>
      <c r="B52" s="773" t="s">
        <v>160</v>
      </c>
      <c r="C52" s="774"/>
      <c r="D52" s="774"/>
      <c r="E52" s="771">
        <f t="shared" si="6"/>
        <v>79.58333333333334</v>
      </c>
      <c r="F52" s="771"/>
      <c r="G52" s="408"/>
      <c r="H52" s="407">
        <f t="shared" si="3"/>
        <v>15.916666666666657</v>
      </c>
      <c r="I52" s="492">
        <f t="shared" si="5"/>
        <v>95.5</v>
      </c>
      <c r="J52" s="492"/>
      <c r="K52" s="775"/>
      <c r="L52" s="416">
        <v>72</v>
      </c>
      <c r="M52" s="413">
        <f t="shared" si="4"/>
        <v>23.5</v>
      </c>
      <c r="N52" s="333"/>
      <c r="O52" s="333"/>
    </row>
    <row r="53" spans="1:15" ht="19.5" thickBot="1">
      <c r="A53" s="336"/>
      <c r="B53" s="773" t="s">
        <v>161</v>
      </c>
      <c r="C53" s="774"/>
      <c r="D53" s="774"/>
      <c r="E53" s="771">
        <f t="shared" si="6"/>
        <v>83.75</v>
      </c>
      <c r="F53" s="771"/>
      <c r="G53" s="408"/>
      <c r="H53" s="407">
        <f t="shared" si="3"/>
        <v>16.75</v>
      </c>
      <c r="I53" s="492">
        <f t="shared" si="5"/>
        <v>100.5</v>
      </c>
      <c r="J53" s="492"/>
      <c r="K53" s="775"/>
      <c r="L53" s="416">
        <v>75</v>
      </c>
      <c r="M53" s="413">
        <f t="shared" si="4"/>
        <v>25.5</v>
      </c>
      <c r="N53" s="333"/>
      <c r="O53" s="333"/>
    </row>
    <row r="54" spans="1:15" ht="19.5" thickBot="1">
      <c r="A54" s="336"/>
      <c r="B54" s="773" t="s">
        <v>162</v>
      </c>
      <c r="C54" s="774"/>
      <c r="D54" s="774"/>
      <c r="E54" s="771">
        <f t="shared" si="6"/>
        <v>87.91666666666667</v>
      </c>
      <c r="F54" s="771"/>
      <c r="G54" s="408"/>
      <c r="H54" s="407">
        <f t="shared" si="3"/>
        <v>17.58333333333333</v>
      </c>
      <c r="I54" s="492">
        <f t="shared" si="5"/>
        <v>105.5</v>
      </c>
      <c r="J54" s="492"/>
      <c r="K54" s="775"/>
      <c r="L54" s="416">
        <v>78</v>
      </c>
      <c r="M54" s="413">
        <f t="shared" si="4"/>
        <v>27.5</v>
      </c>
      <c r="N54" s="333"/>
      <c r="O54" s="333"/>
    </row>
    <row r="55" spans="1:15" ht="19.5" thickBot="1">
      <c r="A55" s="336"/>
      <c r="B55" s="773" t="s">
        <v>163</v>
      </c>
      <c r="C55" s="774"/>
      <c r="D55" s="774"/>
      <c r="E55" s="771">
        <f t="shared" si="6"/>
        <v>92.08333333333334</v>
      </c>
      <c r="F55" s="771"/>
      <c r="G55" s="408"/>
      <c r="H55" s="407">
        <f t="shared" si="3"/>
        <v>18.416666666666657</v>
      </c>
      <c r="I55" s="492">
        <f t="shared" si="5"/>
        <v>110.5</v>
      </c>
      <c r="J55" s="492"/>
      <c r="K55" s="775"/>
      <c r="L55" s="416">
        <v>81</v>
      </c>
      <c r="M55" s="413">
        <f t="shared" si="4"/>
        <v>29.5</v>
      </c>
      <c r="N55" s="333"/>
      <c r="O55" s="333"/>
    </row>
    <row r="56" spans="1:15" ht="19.5" thickBot="1">
      <c r="A56" s="336"/>
      <c r="B56" s="773" t="s">
        <v>164</v>
      </c>
      <c r="C56" s="774"/>
      <c r="D56" s="774"/>
      <c r="E56" s="771">
        <f t="shared" si="6"/>
        <v>96.25</v>
      </c>
      <c r="F56" s="771"/>
      <c r="G56" s="408"/>
      <c r="H56" s="407">
        <f t="shared" si="3"/>
        <v>19.25</v>
      </c>
      <c r="I56" s="492">
        <f t="shared" si="5"/>
        <v>115.5</v>
      </c>
      <c r="J56" s="492"/>
      <c r="K56" s="775"/>
      <c r="L56" s="416">
        <v>84</v>
      </c>
      <c r="M56" s="413">
        <f t="shared" si="4"/>
        <v>31.5</v>
      </c>
      <c r="N56" s="333"/>
      <c r="O56" s="333"/>
    </row>
    <row r="57" spans="1:15" ht="19.5" thickBot="1">
      <c r="A57" s="336"/>
      <c r="B57" s="773" t="s">
        <v>165</v>
      </c>
      <c r="C57" s="774"/>
      <c r="D57" s="774"/>
      <c r="E57" s="771">
        <f t="shared" si="6"/>
        <v>100.41666666666667</v>
      </c>
      <c r="F57" s="771"/>
      <c r="G57" s="408"/>
      <c r="H57" s="407">
        <f t="shared" si="3"/>
        <v>20.08333333333333</v>
      </c>
      <c r="I57" s="492">
        <f t="shared" si="5"/>
        <v>120.5</v>
      </c>
      <c r="J57" s="492"/>
      <c r="K57" s="775"/>
      <c r="L57" s="416">
        <v>87</v>
      </c>
      <c r="M57" s="413">
        <f t="shared" si="4"/>
        <v>33.5</v>
      </c>
      <c r="N57" s="333"/>
      <c r="O57" s="333"/>
    </row>
    <row r="58" spans="1:15" ht="19.5" thickBot="1">
      <c r="A58" s="336"/>
      <c r="B58" s="773" t="s">
        <v>166</v>
      </c>
      <c r="C58" s="774"/>
      <c r="D58" s="774"/>
      <c r="E58" s="771">
        <f t="shared" si="6"/>
        <v>104.58333333333334</v>
      </c>
      <c r="F58" s="771"/>
      <c r="G58" s="408"/>
      <c r="H58" s="407">
        <f t="shared" si="3"/>
        <v>20.916666666666657</v>
      </c>
      <c r="I58" s="492">
        <f>I57+5</f>
        <v>125.5</v>
      </c>
      <c r="J58" s="492"/>
      <c r="K58" s="775"/>
      <c r="L58" s="416">
        <v>90</v>
      </c>
      <c r="M58" s="413">
        <f t="shared" si="4"/>
        <v>35.5</v>
      </c>
      <c r="N58" s="333"/>
      <c r="O58" s="333"/>
    </row>
    <row r="59" spans="1:15" ht="19.5" thickBot="1">
      <c r="A59" s="336"/>
      <c r="B59" s="773" t="s">
        <v>167</v>
      </c>
      <c r="C59" s="774"/>
      <c r="D59" s="774"/>
      <c r="E59" s="771">
        <f t="shared" si="6"/>
        <v>108.75</v>
      </c>
      <c r="F59" s="771"/>
      <c r="G59" s="408"/>
      <c r="H59" s="407">
        <f t="shared" si="3"/>
        <v>21.75</v>
      </c>
      <c r="I59" s="492">
        <f t="shared" si="5"/>
        <v>130.5</v>
      </c>
      <c r="J59" s="492"/>
      <c r="K59" s="775"/>
      <c r="L59" s="416">
        <v>93</v>
      </c>
      <c r="M59" s="413">
        <f t="shared" si="4"/>
        <v>37.5</v>
      </c>
      <c r="N59" s="333"/>
      <c r="O59" s="333"/>
    </row>
    <row r="60" spans="1:15" ht="19.5" thickBot="1">
      <c r="A60" s="336"/>
      <c r="B60" s="773" t="s">
        <v>168</v>
      </c>
      <c r="C60" s="774"/>
      <c r="D60" s="774"/>
      <c r="E60" s="771">
        <f t="shared" si="6"/>
        <v>112.91666666666667</v>
      </c>
      <c r="F60" s="771"/>
      <c r="G60" s="408"/>
      <c r="H60" s="407">
        <f t="shared" si="3"/>
        <v>22.58333333333333</v>
      </c>
      <c r="I60" s="492">
        <f t="shared" si="5"/>
        <v>135.5</v>
      </c>
      <c r="J60" s="492"/>
      <c r="K60" s="775"/>
      <c r="L60" s="416">
        <v>96</v>
      </c>
      <c r="M60" s="413">
        <f t="shared" si="4"/>
        <v>39.5</v>
      </c>
      <c r="N60" s="333"/>
      <c r="O60" s="333"/>
    </row>
    <row r="61" spans="1:15" ht="19.5" thickBot="1">
      <c r="A61" s="336"/>
      <c r="B61" s="773" t="s">
        <v>169</v>
      </c>
      <c r="C61" s="774"/>
      <c r="D61" s="774"/>
      <c r="E61" s="771">
        <f t="shared" si="6"/>
        <v>117.08333333333334</v>
      </c>
      <c r="F61" s="771"/>
      <c r="G61" s="408"/>
      <c r="H61" s="407">
        <f t="shared" si="3"/>
        <v>23.416666666666657</v>
      </c>
      <c r="I61" s="492">
        <f t="shared" si="5"/>
        <v>140.5</v>
      </c>
      <c r="J61" s="492"/>
      <c r="K61" s="775"/>
      <c r="L61" s="416">
        <v>99</v>
      </c>
      <c r="M61" s="413">
        <f t="shared" si="4"/>
        <v>41.5</v>
      </c>
      <c r="N61" s="333"/>
      <c r="O61" s="333"/>
    </row>
    <row r="62" spans="1:15" ht="19.5" thickBot="1">
      <c r="A62" s="336"/>
      <c r="B62" s="773" t="s">
        <v>170</v>
      </c>
      <c r="C62" s="774"/>
      <c r="D62" s="774"/>
      <c r="E62" s="771">
        <f t="shared" si="6"/>
        <v>121.25</v>
      </c>
      <c r="F62" s="771"/>
      <c r="G62" s="408"/>
      <c r="H62" s="407">
        <f t="shared" si="3"/>
        <v>24.25</v>
      </c>
      <c r="I62" s="492">
        <f t="shared" si="5"/>
        <v>145.5</v>
      </c>
      <c r="J62" s="492"/>
      <c r="K62" s="775"/>
      <c r="L62" s="416">
        <v>102</v>
      </c>
      <c r="M62" s="413">
        <f t="shared" si="4"/>
        <v>43.5</v>
      </c>
      <c r="N62" s="333"/>
      <c r="O62" s="333"/>
    </row>
    <row r="63" spans="1:15" ht="19.5" thickBot="1">
      <c r="A63" s="336"/>
      <c r="B63" s="773" t="s">
        <v>171</v>
      </c>
      <c r="C63" s="774"/>
      <c r="D63" s="774"/>
      <c r="E63" s="771">
        <f t="shared" si="6"/>
        <v>125.41666666666667</v>
      </c>
      <c r="F63" s="771"/>
      <c r="G63" s="408"/>
      <c r="H63" s="407">
        <f t="shared" si="3"/>
        <v>25.08333333333333</v>
      </c>
      <c r="I63" s="492">
        <f t="shared" si="5"/>
        <v>150.5</v>
      </c>
      <c r="J63" s="492"/>
      <c r="K63" s="775"/>
      <c r="L63" s="416">
        <v>105</v>
      </c>
      <c r="M63" s="413">
        <f t="shared" si="4"/>
        <v>45.5</v>
      </c>
      <c r="N63" s="333"/>
      <c r="O63" s="333"/>
    </row>
    <row r="64" spans="1:15" ht="19.5" thickBot="1">
      <c r="A64" s="336"/>
      <c r="B64" s="773" t="s">
        <v>172</v>
      </c>
      <c r="C64" s="774"/>
      <c r="D64" s="774"/>
      <c r="E64" s="771">
        <f t="shared" si="6"/>
        <v>129.58333333333334</v>
      </c>
      <c r="F64" s="771"/>
      <c r="G64" s="408"/>
      <c r="H64" s="407">
        <f t="shared" si="3"/>
        <v>25.916666666666657</v>
      </c>
      <c r="I64" s="492">
        <f t="shared" si="5"/>
        <v>155.5</v>
      </c>
      <c r="J64" s="492"/>
      <c r="K64" s="775"/>
      <c r="L64" s="416">
        <v>108</v>
      </c>
      <c r="M64" s="413">
        <f t="shared" si="4"/>
        <v>47.5</v>
      </c>
      <c r="N64" s="333"/>
      <c r="O64" s="333"/>
    </row>
    <row r="65" spans="1:15" ht="19.5" thickBot="1">
      <c r="A65" s="336"/>
      <c r="B65" s="773" t="s">
        <v>173</v>
      </c>
      <c r="C65" s="774"/>
      <c r="D65" s="774"/>
      <c r="E65" s="771">
        <f t="shared" si="6"/>
        <v>133.75</v>
      </c>
      <c r="F65" s="771"/>
      <c r="G65" s="408"/>
      <c r="H65" s="407">
        <f t="shared" si="3"/>
        <v>26.75</v>
      </c>
      <c r="I65" s="492">
        <f t="shared" si="5"/>
        <v>160.5</v>
      </c>
      <c r="J65" s="492"/>
      <c r="K65" s="775"/>
      <c r="L65" s="416">
        <v>111</v>
      </c>
      <c r="M65" s="413">
        <f t="shared" si="4"/>
        <v>49.5</v>
      </c>
      <c r="N65" s="333"/>
      <c r="O65" s="333"/>
    </row>
    <row r="66" spans="1:15" ht="19.5" thickBot="1">
      <c r="A66" s="336"/>
      <c r="B66" s="776" t="s">
        <v>174</v>
      </c>
      <c r="C66" s="777"/>
      <c r="D66" s="777"/>
      <c r="E66" s="771">
        <f t="shared" si="6"/>
        <v>137.91666666666669</v>
      </c>
      <c r="F66" s="771"/>
      <c r="G66" s="409"/>
      <c r="H66" s="407">
        <f t="shared" si="3"/>
        <v>27.583333333333314</v>
      </c>
      <c r="I66" s="492">
        <f t="shared" si="5"/>
        <v>165.5</v>
      </c>
      <c r="J66" s="492"/>
      <c r="K66" s="775"/>
      <c r="L66" s="416">
        <v>114</v>
      </c>
      <c r="M66" s="413">
        <f t="shared" si="4"/>
        <v>51.5</v>
      </c>
      <c r="N66" s="333"/>
      <c r="O66" s="333"/>
    </row>
    <row r="67" spans="1:15" ht="12.75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3"/>
      <c r="O67" s="333"/>
    </row>
    <row r="68" spans="1:15" ht="15.75">
      <c r="A68" s="778" t="s">
        <v>245</v>
      </c>
      <c r="B68" s="778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336"/>
      <c r="N68" s="333"/>
      <c r="O68" s="333"/>
    </row>
    <row r="69" spans="1:15" ht="12.75">
      <c r="A69" s="336"/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3"/>
      <c r="O69" s="333"/>
    </row>
    <row r="70" spans="1:15" ht="12.75">
      <c r="A70" s="336"/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3"/>
      <c r="O70" s="333"/>
    </row>
    <row r="71" spans="1:15" ht="18.75">
      <c r="A71" s="336"/>
      <c r="B71" s="779" t="s">
        <v>176</v>
      </c>
      <c r="C71" s="779"/>
      <c r="D71" s="779"/>
      <c r="E71" s="779"/>
      <c r="F71" s="779"/>
      <c r="G71" s="779"/>
      <c r="H71" s="779"/>
      <c r="I71" s="779"/>
      <c r="J71" s="779"/>
      <c r="K71" s="779"/>
      <c r="L71" s="779"/>
      <c r="M71" s="779"/>
      <c r="N71" s="333"/>
      <c r="O71" s="333"/>
    </row>
    <row r="72" spans="1:15" ht="13.5" thickBot="1">
      <c r="A72" s="336"/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3"/>
      <c r="O72" s="333"/>
    </row>
    <row r="73" spans="1:15" ht="75" customHeight="1">
      <c r="A73" s="336"/>
      <c r="B73" s="780" t="s">
        <v>214</v>
      </c>
      <c r="C73" s="781"/>
      <c r="D73" s="782"/>
      <c r="E73" s="783" t="s">
        <v>206</v>
      </c>
      <c r="F73" s="784"/>
      <c r="G73" s="337"/>
      <c r="H73" s="785" t="s">
        <v>203</v>
      </c>
      <c r="I73" s="782"/>
      <c r="J73" s="338"/>
      <c r="K73" s="786" t="s">
        <v>207</v>
      </c>
      <c r="L73" s="787"/>
      <c r="M73" s="418" t="s">
        <v>233</v>
      </c>
      <c r="N73" s="333"/>
      <c r="O73" s="333"/>
    </row>
    <row r="74" spans="1:15" ht="15.75" customHeight="1">
      <c r="A74" s="336"/>
      <c r="B74" s="788" t="s">
        <v>175</v>
      </c>
      <c r="C74" s="789"/>
      <c r="D74" s="790"/>
      <c r="E74" s="791">
        <f>K74/1.2</f>
        <v>48.333333333333336</v>
      </c>
      <c r="F74" s="792"/>
      <c r="G74" s="408"/>
      <c r="H74" s="791">
        <f>E74*0.2</f>
        <v>9.666666666666668</v>
      </c>
      <c r="I74" s="792"/>
      <c r="J74" s="408"/>
      <c r="K74" s="492">
        <f>K37+17</f>
        <v>58</v>
      </c>
      <c r="L74" s="775"/>
      <c r="M74" s="417">
        <v>47</v>
      </c>
      <c r="N74" s="339"/>
      <c r="O74" s="339"/>
    </row>
    <row r="75" spans="1:15" ht="15.75" customHeight="1">
      <c r="A75" s="336"/>
      <c r="B75" s="788" t="s">
        <v>151</v>
      </c>
      <c r="C75" s="789"/>
      <c r="D75" s="790"/>
      <c r="E75" s="791">
        <f aca="true" t="shared" si="7" ref="E75:E98">K75/1.2</f>
        <v>52.5</v>
      </c>
      <c r="F75" s="792"/>
      <c r="G75" s="408"/>
      <c r="H75" s="791">
        <f aca="true" t="shared" si="8" ref="H75:H98">E75*0.2</f>
        <v>10.5</v>
      </c>
      <c r="I75" s="792"/>
      <c r="J75" s="408"/>
      <c r="K75" s="791">
        <f>K74+5</f>
        <v>63</v>
      </c>
      <c r="L75" s="793"/>
      <c r="M75" s="417">
        <v>50</v>
      </c>
      <c r="N75" s="340">
        <f>K75-I43</f>
        <v>13</v>
      </c>
      <c r="O75" s="339"/>
    </row>
    <row r="76" spans="1:15" ht="15.75" customHeight="1">
      <c r="A76" s="336"/>
      <c r="B76" s="788" t="s">
        <v>152</v>
      </c>
      <c r="C76" s="789"/>
      <c r="D76" s="790"/>
      <c r="E76" s="791">
        <f t="shared" si="7"/>
        <v>56.66666666666667</v>
      </c>
      <c r="F76" s="792"/>
      <c r="G76" s="408"/>
      <c r="H76" s="791">
        <f t="shared" si="8"/>
        <v>11.333333333333336</v>
      </c>
      <c r="I76" s="792"/>
      <c r="J76" s="408"/>
      <c r="K76" s="791">
        <f aca="true" t="shared" si="9" ref="K76:K98">K75+5</f>
        <v>68</v>
      </c>
      <c r="L76" s="793"/>
      <c r="M76" s="417">
        <v>53</v>
      </c>
      <c r="N76" s="340">
        <f aca="true" t="shared" si="10" ref="N76:N98">K76-I44</f>
        <v>12.5</v>
      </c>
      <c r="O76" s="339"/>
    </row>
    <row r="77" spans="1:15" ht="15.75" customHeight="1">
      <c r="A77" s="336"/>
      <c r="B77" s="788" t="s">
        <v>153</v>
      </c>
      <c r="C77" s="789"/>
      <c r="D77" s="790"/>
      <c r="E77" s="791">
        <f t="shared" si="7"/>
        <v>60.833333333333336</v>
      </c>
      <c r="F77" s="792"/>
      <c r="G77" s="408"/>
      <c r="H77" s="791">
        <f t="shared" si="8"/>
        <v>12.166666666666668</v>
      </c>
      <c r="I77" s="792"/>
      <c r="J77" s="408"/>
      <c r="K77" s="791">
        <f t="shared" si="9"/>
        <v>73</v>
      </c>
      <c r="L77" s="793"/>
      <c r="M77" s="417">
        <v>56</v>
      </c>
      <c r="N77" s="340">
        <f t="shared" si="10"/>
        <v>12.5</v>
      </c>
      <c r="O77" s="339"/>
    </row>
    <row r="78" spans="1:15" ht="15.75" customHeight="1">
      <c r="A78" s="336"/>
      <c r="B78" s="788" t="s">
        <v>154</v>
      </c>
      <c r="C78" s="789"/>
      <c r="D78" s="790"/>
      <c r="E78" s="791">
        <f t="shared" si="7"/>
        <v>65</v>
      </c>
      <c r="F78" s="792"/>
      <c r="G78" s="408"/>
      <c r="H78" s="791">
        <f t="shared" si="8"/>
        <v>13</v>
      </c>
      <c r="I78" s="792"/>
      <c r="J78" s="408"/>
      <c r="K78" s="791">
        <f t="shared" si="9"/>
        <v>78</v>
      </c>
      <c r="L78" s="793"/>
      <c r="M78" s="417">
        <v>59</v>
      </c>
      <c r="N78" s="340">
        <f t="shared" si="10"/>
        <v>12.5</v>
      </c>
      <c r="O78" s="339"/>
    </row>
    <row r="79" spans="1:15" ht="15.75" customHeight="1">
      <c r="A79" s="336"/>
      <c r="B79" s="788" t="s">
        <v>155</v>
      </c>
      <c r="C79" s="789"/>
      <c r="D79" s="790"/>
      <c r="E79" s="791">
        <f t="shared" si="7"/>
        <v>69.16666666666667</v>
      </c>
      <c r="F79" s="792"/>
      <c r="G79" s="408"/>
      <c r="H79" s="791">
        <f t="shared" si="8"/>
        <v>13.833333333333336</v>
      </c>
      <c r="I79" s="792"/>
      <c r="J79" s="408"/>
      <c r="K79" s="791">
        <f t="shared" si="9"/>
        <v>83</v>
      </c>
      <c r="L79" s="793"/>
      <c r="M79" s="417">
        <v>62</v>
      </c>
      <c r="N79" s="340">
        <f t="shared" si="10"/>
        <v>12.5</v>
      </c>
      <c r="O79" s="339"/>
    </row>
    <row r="80" spans="1:15" ht="15.75" customHeight="1">
      <c r="A80" s="336"/>
      <c r="B80" s="788" t="s">
        <v>156</v>
      </c>
      <c r="C80" s="789"/>
      <c r="D80" s="790"/>
      <c r="E80" s="791">
        <f t="shared" si="7"/>
        <v>73.33333333333334</v>
      </c>
      <c r="F80" s="792"/>
      <c r="G80" s="408"/>
      <c r="H80" s="791">
        <f t="shared" si="8"/>
        <v>14.66666666666667</v>
      </c>
      <c r="I80" s="792"/>
      <c r="J80" s="408"/>
      <c r="K80" s="791">
        <f t="shared" si="9"/>
        <v>88</v>
      </c>
      <c r="L80" s="793"/>
      <c r="M80" s="417">
        <v>65</v>
      </c>
      <c r="N80" s="340">
        <f t="shared" si="10"/>
        <v>12.5</v>
      </c>
      <c r="O80" s="339"/>
    </row>
    <row r="81" spans="1:15" ht="15.75" customHeight="1">
      <c r="A81" s="336"/>
      <c r="B81" s="788" t="s">
        <v>157</v>
      </c>
      <c r="C81" s="789"/>
      <c r="D81" s="790"/>
      <c r="E81" s="791">
        <f t="shared" si="7"/>
        <v>77.5</v>
      </c>
      <c r="F81" s="792"/>
      <c r="G81" s="408"/>
      <c r="H81" s="791">
        <f t="shared" si="8"/>
        <v>15.5</v>
      </c>
      <c r="I81" s="792"/>
      <c r="J81" s="408"/>
      <c r="K81" s="791">
        <f t="shared" si="9"/>
        <v>93</v>
      </c>
      <c r="L81" s="793"/>
      <c r="M81" s="417">
        <v>68</v>
      </c>
      <c r="N81" s="340">
        <f t="shared" si="10"/>
        <v>12.5</v>
      </c>
      <c r="O81" s="339"/>
    </row>
    <row r="82" spans="1:15" ht="15.75" customHeight="1">
      <c r="A82" s="336"/>
      <c r="B82" s="788" t="s">
        <v>158</v>
      </c>
      <c r="C82" s="789"/>
      <c r="D82" s="790"/>
      <c r="E82" s="791">
        <f t="shared" si="7"/>
        <v>81.66666666666667</v>
      </c>
      <c r="F82" s="792"/>
      <c r="G82" s="408"/>
      <c r="H82" s="791">
        <f t="shared" si="8"/>
        <v>16.333333333333336</v>
      </c>
      <c r="I82" s="792"/>
      <c r="J82" s="408"/>
      <c r="K82" s="791">
        <f t="shared" si="9"/>
        <v>98</v>
      </c>
      <c r="L82" s="793"/>
      <c r="M82" s="417">
        <v>71</v>
      </c>
      <c r="N82" s="340">
        <f t="shared" si="10"/>
        <v>12.5</v>
      </c>
      <c r="O82" s="339"/>
    </row>
    <row r="83" spans="1:15" ht="15.75" customHeight="1">
      <c r="A83" s="336"/>
      <c r="B83" s="788" t="s">
        <v>159</v>
      </c>
      <c r="C83" s="789"/>
      <c r="D83" s="790"/>
      <c r="E83" s="791">
        <f t="shared" si="7"/>
        <v>85.83333333333334</v>
      </c>
      <c r="F83" s="792"/>
      <c r="G83" s="408"/>
      <c r="H83" s="791">
        <f t="shared" si="8"/>
        <v>17.166666666666668</v>
      </c>
      <c r="I83" s="792"/>
      <c r="J83" s="408"/>
      <c r="K83" s="791">
        <f t="shared" si="9"/>
        <v>103</v>
      </c>
      <c r="L83" s="793"/>
      <c r="M83" s="417">
        <v>74</v>
      </c>
      <c r="N83" s="340">
        <f t="shared" si="10"/>
        <v>12.5</v>
      </c>
      <c r="O83" s="339"/>
    </row>
    <row r="84" spans="1:15" ht="15.75" customHeight="1">
      <c r="A84" s="336"/>
      <c r="B84" s="788" t="s">
        <v>160</v>
      </c>
      <c r="C84" s="789"/>
      <c r="D84" s="790"/>
      <c r="E84" s="791">
        <f t="shared" si="7"/>
        <v>90</v>
      </c>
      <c r="F84" s="792"/>
      <c r="G84" s="408"/>
      <c r="H84" s="791">
        <f t="shared" si="8"/>
        <v>18</v>
      </c>
      <c r="I84" s="792"/>
      <c r="J84" s="408"/>
      <c r="K84" s="791">
        <f t="shared" si="9"/>
        <v>108</v>
      </c>
      <c r="L84" s="793"/>
      <c r="M84" s="417">
        <v>77</v>
      </c>
      <c r="N84" s="340">
        <f t="shared" si="10"/>
        <v>12.5</v>
      </c>
      <c r="O84" s="339"/>
    </row>
    <row r="85" spans="1:15" ht="15.75" customHeight="1">
      <c r="A85" s="336"/>
      <c r="B85" s="788" t="s">
        <v>161</v>
      </c>
      <c r="C85" s="789"/>
      <c r="D85" s="790"/>
      <c r="E85" s="791">
        <f t="shared" si="7"/>
        <v>94.16666666666667</v>
      </c>
      <c r="F85" s="792"/>
      <c r="G85" s="408"/>
      <c r="H85" s="791">
        <f t="shared" si="8"/>
        <v>18.833333333333336</v>
      </c>
      <c r="I85" s="792"/>
      <c r="J85" s="408"/>
      <c r="K85" s="791">
        <f t="shared" si="9"/>
        <v>113</v>
      </c>
      <c r="L85" s="793"/>
      <c r="M85" s="417">
        <v>80</v>
      </c>
      <c r="N85" s="340">
        <f t="shared" si="10"/>
        <v>12.5</v>
      </c>
      <c r="O85" s="339"/>
    </row>
    <row r="86" spans="1:15" ht="15.75" customHeight="1">
      <c r="A86" s="336"/>
      <c r="B86" s="788" t="s">
        <v>162</v>
      </c>
      <c r="C86" s="789"/>
      <c r="D86" s="790"/>
      <c r="E86" s="791">
        <f t="shared" si="7"/>
        <v>98.33333333333334</v>
      </c>
      <c r="F86" s="792"/>
      <c r="G86" s="408"/>
      <c r="H86" s="791">
        <f t="shared" si="8"/>
        <v>19.66666666666667</v>
      </c>
      <c r="I86" s="792"/>
      <c r="J86" s="408"/>
      <c r="K86" s="791">
        <f t="shared" si="9"/>
        <v>118</v>
      </c>
      <c r="L86" s="793"/>
      <c r="M86" s="417">
        <v>83</v>
      </c>
      <c r="N86" s="340">
        <f t="shared" si="10"/>
        <v>12.5</v>
      </c>
      <c r="O86" s="339"/>
    </row>
    <row r="87" spans="1:15" ht="15.75" customHeight="1">
      <c r="A87" s="336"/>
      <c r="B87" s="788" t="s">
        <v>163</v>
      </c>
      <c r="C87" s="789"/>
      <c r="D87" s="790"/>
      <c r="E87" s="791">
        <f t="shared" si="7"/>
        <v>102.5</v>
      </c>
      <c r="F87" s="792"/>
      <c r="G87" s="408"/>
      <c r="H87" s="791">
        <f t="shared" si="8"/>
        <v>20.5</v>
      </c>
      <c r="I87" s="792"/>
      <c r="J87" s="408"/>
      <c r="K87" s="791">
        <f t="shared" si="9"/>
        <v>123</v>
      </c>
      <c r="L87" s="793"/>
      <c r="M87" s="417">
        <v>86</v>
      </c>
      <c r="N87" s="340">
        <f t="shared" si="10"/>
        <v>12.5</v>
      </c>
      <c r="O87" s="339"/>
    </row>
    <row r="88" spans="1:15" ht="15.75" customHeight="1">
      <c r="A88" s="336"/>
      <c r="B88" s="788" t="s">
        <v>164</v>
      </c>
      <c r="C88" s="789"/>
      <c r="D88" s="790"/>
      <c r="E88" s="791">
        <f t="shared" si="7"/>
        <v>106.66666666666667</v>
      </c>
      <c r="F88" s="792"/>
      <c r="G88" s="408"/>
      <c r="H88" s="791">
        <f t="shared" si="8"/>
        <v>21.333333333333336</v>
      </c>
      <c r="I88" s="792"/>
      <c r="J88" s="408"/>
      <c r="K88" s="791">
        <f t="shared" si="9"/>
        <v>128</v>
      </c>
      <c r="L88" s="793"/>
      <c r="M88" s="417">
        <v>89</v>
      </c>
      <c r="N88" s="340">
        <f>K88-I56</f>
        <v>12.5</v>
      </c>
      <c r="O88" s="339"/>
    </row>
    <row r="89" spans="1:15" ht="15.75" customHeight="1">
      <c r="A89" s="336"/>
      <c r="B89" s="788" t="s">
        <v>165</v>
      </c>
      <c r="C89" s="789"/>
      <c r="D89" s="790"/>
      <c r="E89" s="791">
        <f t="shared" si="7"/>
        <v>110.83333333333334</v>
      </c>
      <c r="F89" s="792"/>
      <c r="G89" s="408"/>
      <c r="H89" s="791">
        <f t="shared" si="8"/>
        <v>22.16666666666667</v>
      </c>
      <c r="I89" s="792"/>
      <c r="J89" s="408"/>
      <c r="K89" s="791">
        <f t="shared" si="9"/>
        <v>133</v>
      </c>
      <c r="L89" s="793"/>
      <c r="M89" s="417">
        <v>92</v>
      </c>
      <c r="N89" s="340">
        <f t="shared" si="10"/>
        <v>12.5</v>
      </c>
      <c r="O89" s="339"/>
    </row>
    <row r="90" spans="1:15" ht="15.75" customHeight="1">
      <c r="A90" s="336"/>
      <c r="B90" s="788" t="s">
        <v>166</v>
      </c>
      <c r="C90" s="789"/>
      <c r="D90" s="790"/>
      <c r="E90" s="791">
        <f t="shared" si="7"/>
        <v>115</v>
      </c>
      <c r="F90" s="792"/>
      <c r="G90" s="408"/>
      <c r="H90" s="791">
        <f t="shared" si="8"/>
        <v>23</v>
      </c>
      <c r="I90" s="792"/>
      <c r="J90" s="408"/>
      <c r="K90" s="791">
        <f t="shared" si="9"/>
        <v>138</v>
      </c>
      <c r="L90" s="793"/>
      <c r="M90" s="417">
        <v>95</v>
      </c>
      <c r="N90" s="340">
        <f t="shared" si="10"/>
        <v>12.5</v>
      </c>
      <c r="O90" s="339"/>
    </row>
    <row r="91" spans="1:15" ht="15.75" customHeight="1">
      <c r="A91" s="336"/>
      <c r="B91" s="788" t="s">
        <v>167</v>
      </c>
      <c r="C91" s="789"/>
      <c r="D91" s="790"/>
      <c r="E91" s="791">
        <f t="shared" si="7"/>
        <v>119.16666666666667</v>
      </c>
      <c r="F91" s="792"/>
      <c r="G91" s="408"/>
      <c r="H91" s="791">
        <f t="shared" si="8"/>
        <v>23.833333333333336</v>
      </c>
      <c r="I91" s="792"/>
      <c r="J91" s="408"/>
      <c r="K91" s="791">
        <f t="shared" si="9"/>
        <v>143</v>
      </c>
      <c r="L91" s="793"/>
      <c r="M91" s="417">
        <v>98</v>
      </c>
      <c r="N91" s="340">
        <f t="shared" si="10"/>
        <v>12.5</v>
      </c>
      <c r="O91" s="339"/>
    </row>
    <row r="92" spans="1:15" ht="15.75" customHeight="1">
      <c r="A92" s="336"/>
      <c r="B92" s="788" t="s">
        <v>168</v>
      </c>
      <c r="C92" s="789"/>
      <c r="D92" s="790"/>
      <c r="E92" s="791">
        <f t="shared" si="7"/>
        <v>123.33333333333334</v>
      </c>
      <c r="F92" s="792"/>
      <c r="G92" s="408"/>
      <c r="H92" s="791">
        <f t="shared" si="8"/>
        <v>24.66666666666667</v>
      </c>
      <c r="I92" s="792"/>
      <c r="J92" s="408"/>
      <c r="K92" s="791">
        <f t="shared" si="9"/>
        <v>148</v>
      </c>
      <c r="L92" s="793"/>
      <c r="M92" s="417">
        <v>101</v>
      </c>
      <c r="N92" s="340">
        <f t="shared" si="10"/>
        <v>12.5</v>
      </c>
      <c r="O92" s="339"/>
    </row>
    <row r="93" spans="1:15" ht="15.75" customHeight="1">
      <c r="A93" s="336"/>
      <c r="B93" s="788" t="s">
        <v>169</v>
      </c>
      <c r="C93" s="789"/>
      <c r="D93" s="790"/>
      <c r="E93" s="791">
        <f t="shared" si="7"/>
        <v>127.5</v>
      </c>
      <c r="F93" s="792"/>
      <c r="G93" s="408"/>
      <c r="H93" s="791">
        <f t="shared" si="8"/>
        <v>25.5</v>
      </c>
      <c r="I93" s="792"/>
      <c r="J93" s="408"/>
      <c r="K93" s="791">
        <f t="shared" si="9"/>
        <v>153</v>
      </c>
      <c r="L93" s="793"/>
      <c r="M93" s="417">
        <v>104</v>
      </c>
      <c r="N93" s="340">
        <f t="shared" si="10"/>
        <v>12.5</v>
      </c>
      <c r="O93" s="339"/>
    </row>
    <row r="94" spans="1:15" ht="15.75" customHeight="1">
      <c r="A94" s="336"/>
      <c r="B94" s="788" t="s">
        <v>170</v>
      </c>
      <c r="C94" s="789"/>
      <c r="D94" s="790"/>
      <c r="E94" s="791">
        <f t="shared" si="7"/>
        <v>131.66666666666669</v>
      </c>
      <c r="F94" s="792"/>
      <c r="G94" s="408"/>
      <c r="H94" s="791">
        <f t="shared" si="8"/>
        <v>26.33333333333334</v>
      </c>
      <c r="I94" s="792"/>
      <c r="J94" s="408"/>
      <c r="K94" s="791">
        <f t="shared" si="9"/>
        <v>158</v>
      </c>
      <c r="L94" s="793"/>
      <c r="M94" s="417">
        <v>107</v>
      </c>
      <c r="N94" s="340">
        <f t="shared" si="10"/>
        <v>12.5</v>
      </c>
      <c r="O94" s="339"/>
    </row>
    <row r="95" spans="1:15" ht="15.75" customHeight="1">
      <c r="A95" s="336"/>
      <c r="B95" s="788" t="s">
        <v>171</v>
      </c>
      <c r="C95" s="789"/>
      <c r="D95" s="790"/>
      <c r="E95" s="791">
        <f t="shared" si="7"/>
        <v>135.83333333333334</v>
      </c>
      <c r="F95" s="792"/>
      <c r="G95" s="408"/>
      <c r="H95" s="791">
        <f t="shared" si="8"/>
        <v>27.16666666666667</v>
      </c>
      <c r="I95" s="792"/>
      <c r="J95" s="408"/>
      <c r="K95" s="791">
        <f t="shared" si="9"/>
        <v>163</v>
      </c>
      <c r="L95" s="793"/>
      <c r="M95" s="417">
        <v>110</v>
      </c>
      <c r="N95" s="340">
        <f t="shared" si="10"/>
        <v>12.5</v>
      </c>
      <c r="O95" s="339"/>
    </row>
    <row r="96" spans="1:15" ht="15.75" customHeight="1">
      <c r="A96" s="336"/>
      <c r="B96" s="788" t="s">
        <v>172</v>
      </c>
      <c r="C96" s="789"/>
      <c r="D96" s="790"/>
      <c r="E96" s="791">
        <f t="shared" si="7"/>
        <v>140</v>
      </c>
      <c r="F96" s="792"/>
      <c r="G96" s="408"/>
      <c r="H96" s="791">
        <f t="shared" si="8"/>
        <v>28</v>
      </c>
      <c r="I96" s="792"/>
      <c r="J96" s="408"/>
      <c r="K96" s="791">
        <f t="shared" si="9"/>
        <v>168</v>
      </c>
      <c r="L96" s="793"/>
      <c r="M96" s="417">
        <v>113</v>
      </c>
      <c r="N96" s="340">
        <f t="shared" si="10"/>
        <v>12.5</v>
      </c>
      <c r="O96" s="339"/>
    </row>
    <row r="97" spans="1:15" ht="15.75" customHeight="1">
      <c r="A97" s="336"/>
      <c r="B97" s="788" t="s">
        <v>173</v>
      </c>
      <c r="C97" s="789"/>
      <c r="D97" s="790"/>
      <c r="E97" s="791">
        <f t="shared" si="7"/>
        <v>144.16666666666669</v>
      </c>
      <c r="F97" s="792"/>
      <c r="G97" s="408"/>
      <c r="H97" s="791">
        <f t="shared" si="8"/>
        <v>28.83333333333334</v>
      </c>
      <c r="I97" s="792"/>
      <c r="J97" s="408"/>
      <c r="K97" s="791">
        <f t="shared" si="9"/>
        <v>173</v>
      </c>
      <c r="L97" s="793"/>
      <c r="M97" s="417">
        <v>116</v>
      </c>
      <c r="N97" s="340">
        <f t="shared" si="10"/>
        <v>12.5</v>
      </c>
      <c r="O97" s="339"/>
    </row>
    <row r="98" spans="1:15" ht="16.5" customHeight="1" thickBot="1">
      <c r="A98" s="336"/>
      <c r="B98" s="794" t="s">
        <v>174</v>
      </c>
      <c r="C98" s="795"/>
      <c r="D98" s="796"/>
      <c r="E98" s="797">
        <f t="shared" si="7"/>
        <v>148.33333333333334</v>
      </c>
      <c r="F98" s="798"/>
      <c r="G98" s="409"/>
      <c r="H98" s="797">
        <f t="shared" si="8"/>
        <v>29.66666666666667</v>
      </c>
      <c r="I98" s="798"/>
      <c r="J98" s="409"/>
      <c r="K98" s="791">
        <f t="shared" si="9"/>
        <v>178</v>
      </c>
      <c r="L98" s="793"/>
      <c r="M98" s="417">
        <v>1190</v>
      </c>
      <c r="N98" s="340">
        <f t="shared" si="10"/>
        <v>12.5</v>
      </c>
      <c r="O98" s="339"/>
    </row>
    <row r="99" spans="1:15" ht="12.75">
      <c r="A99" s="336"/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3"/>
      <c r="O99" s="333"/>
    </row>
    <row r="100" spans="1:15" ht="12.75">
      <c r="A100" s="336"/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3"/>
      <c r="O100" s="333"/>
    </row>
    <row r="101" spans="1:15" ht="12.75">
      <c r="A101" s="336"/>
      <c r="B101" s="336"/>
      <c r="C101" s="336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3"/>
      <c r="O101" s="333"/>
    </row>
    <row r="102" spans="1:13" ht="12.75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</row>
    <row r="103" spans="1:13" ht="12.75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</row>
  </sheetData>
  <sheetProtection/>
  <mergeCells count="258">
    <mergeCell ref="B98:D98"/>
    <mergeCell ref="E98:F98"/>
    <mergeCell ref="H98:I98"/>
    <mergeCell ref="K98:L98"/>
    <mergeCell ref="B96:D96"/>
    <mergeCell ref="E96:F96"/>
    <mergeCell ref="H96:I96"/>
    <mergeCell ref="K96:L96"/>
    <mergeCell ref="B97:D97"/>
    <mergeCell ref="E97:F97"/>
    <mergeCell ref="H97:I97"/>
    <mergeCell ref="K97:L97"/>
    <mergeCell ref="B94:D94"/>
    <mergeCell ref="E94:F94"/>
    <mergeCell ref="H94:I94"/>
    <mergeCell ref="K94:L94"/>
    <mergeCell ref="B95:D95"/>
    <mergeCell ref="E95:F95"/>
    <mergeCell ref="H95:I95"/>
    <mergeCell ref="K95:L95"/>
    <mergeCell ref="B92:D92"/>
    <mergeCell ref="E92:F92"/>
    <mergeCell ref="H92:I92"/>
    <mergeCell ref="K92:L92"/>
    <mergeCell ref="B93:D93"/>
    <mergeCell ref="E93:F93"/>
    <mergeCell ref="H93:I93"/>
    <mergeCell ref="K93:L93"/>
    <mergeCell ref="B90:D90"/>
    <mergeCell ref="E90:F90"/>
    <mergeCell ref="H90:I90"/>
    <mergeCell ref="K90:L90"/>
    <mergeCell ref="B91:D91"/>
    <mergeCell ref="E91:F91"/>
    <mergeCell ref="H91:I91"/>
    <mergeCell ref="K91:L91"/>
    <mergeCell ref="B88:D88"/>
    <mergeCell ref="E88:F88"/>
    <mergeCell ref="H88:I88"/>
    <mergeCell ref="K88:L88"/>
    <mergeCell ref="B89:D89"/>
    <mergeCell ref="E89:F89"/>
    <mergeCell ref="H89:I89"/>
    <mergeCell ref="K89:L89"/>
    <mergeCell ref="B86:D86"/>
    <mergeCell ref="E86:F86"/>
    <mergeCell ref="H86:I86"/>
    <mergeCell ref="K86:L86"/>
    <mergeCell ref="B87:D87"/>
    <mergeCell ref="E87:F87"/>
    <mergeCell ref="H87:I87"/>
    <mergeCell ref="K87:L87"/>
    <mergeCell ref="B84:D84"/>
    <mergeCell ref="E84:F84"/>
    <mergeCell ref="H84:I84"/>
    <mergeCell ref="K84:L84"/>
    <mergeCell ref="B85:D85"/>
    <mergeCell ref="E85:F85"/>
    <mergeCell ref="H85:I85"/>
    <mergeCell ref="K85:L85"/>
    <mergeCell ref="B82:D82"/>
    <mergeCell ref="E82:F82"/>
    <mergeCell ref="H82:I82"/>
    <mergeCell ref="K82:L82"/>
    <mergeCell ref="B83:D83"/>
    <mergeCell ref="E83:F83"/>
    <mergeCell ref="H83:I83"/>
    <mergeCell ref="K83:L83"/>
    <mergeCell ref="B80:D80"/>
    <mergeCell ref="E80:F80"/>
    <mergeCell ref="H80:I80"/>
    <mergeCell ref="K80:L80"/>
    <mergeCell ref="B81:D81"/>
    <mergeCell ref="E81:F81"/>
    <mergeCell ref="H81:I81"/>
    <mergeCell ref="K81:L81"/>
    <mergeCell ref="B78:D78"/>
    <mergeCell ref="E78:F78"/>
    <mergeCell ref="H78:I78"/>
    <mergeCell ref="K78:L78"/>
    <mergeCell ref="B79:D79"/>
    <mergeCell ref="E79:F79"/>
    <mergeCell ref="H79:I79"/>
    <mergeCell ref="K79:L79"/>
    <mergeCell ref="B76:D76"/>
    <mergeCell ref="E76:F76"/>
    <mergeCell ref="H76:I76"/>
    <mergeCell ref="K76:L76"/>
    <mergeCell ref="B77:D77"/>
    <mergeCell ref="E77:F77"/>
    <mergeCell ref="H77:I77"/>
    <mergeCell ref="K77:L77"/>
    <mergeCell ref="B74:D74"/>
    <mergeCell ref="E74:F74"/>
    <mergeCell ref="H74:I74"/>
    <mergeCell ref="K74:L74"/>
    <mergeCell ref="B75:D75"/>
    <mergeCell ref="E75:F75"/>
    <mergeCell ref="H75:I75"/>
    <mergeCell ref="K75:L75"/>
    <mergeCell ref="A68:L68"/>
    <mergeCell ref="B71:M71"/>
    <mergeCell ref="B73:D73"/>
    <mergeCell ref="E73:F73"/>
    <mergeCell ref="H73:I73"/>
    <mergeCell ref="K73:L73"/>
    <mergeCell ref="B65:D65"/>
    <mergeCell ref="E65:F65"/>
    <mergeCell ref="I65:K65"/>
    <mergeCell ref="B66:D66"/>
    <mergeCell ref="E66:F66"/>
    <mergeCell ref="I66:K66"/>
    <mergeCell ref="B63:D63"/>
    <mergeCell ref="E63:F63"/>
    <mergeCell ref="I63:K63"/>
    <mergeCell ref="B64:D64"/>
    <mergeCell ref="E64:F64"/>
    <mergeCell ref="I64:K64"/>
    <mergeCell ref="B61:D61"/>
    <mergeCell ref="E61:F61"/>
    <mergeCell ref="I61:K61"/>
    <mergeCell ref="B62:D62"/>
    <mergeCell ref="E62:F62"/>
    <mergeCell ref="I62:K62"/>
    <mergeCell ref="B59:D59"/>
    <mergeCell ref="E59:F59"/>
    <mergeCell ref="I59:K59"/>
    <mergeCell ref="B60:D60"/>
    <mergeCell ref="E60:F60"/>
    <mergeCell ref="I60:K60"/>
    <mergeCell ref="B57:D57"/>
    <mergeCell ref="E57:F57"/>
    <mergeCell ref="I57:K57"/>
    <mergeCell ref="B58:D58"/>
    <mergeCell ref="E58:F58"/>
    <mergeCell ref="I58:K58"/>
    <mergeCell ref="B55:D55"/>
    <mergeCell ref="E55:F55"/>
    <mergeCell ref="I55:K55"/>
    <mergeCell ref="B56:D56"/>
    <mergeCell ref="E56:F56"/>
    <mergeCell ref="I56:K56"/>
    <mergeCell ref="B53:D53"/>
    <mergeCell ref="E53:F53"/>
    <mergeCell ref="I53:K53"/>
    <mergeCell ref="B54:D54"/>
    <mergeCell ref="E54:F54"/>
    <mergeCell ref="I54:K54"/>
    <mergeCell ref="B51:D51"/>
    <mergeCell ref="E51:F51"/>
    <mergeCell ref="I51:K51"/>
    <mergeCell ref="B52:D52"/>
    <mergeCell ref="E52:F52"/>
    <mergeCell ref="I52:K52"/>
    <mergeCell ref="B49:D49"/>
    <mergeCell ref="E49:F49"/>
    <mergeCell ref="I49:K49"/>
    <mergeCell ref="B50:D50"/>
    <mergeCell ref="E50:F50"/>
    <mergeCell ref="I50:K50"/>
    <mergeCell ref="B47:D47"/>
    <mergeCell ref="E47:F47"/>
    <mergeCell ref="I47:K47"/>
    <mergeCell ref="B48:D48"/>
    <mergeCell ref="E48:F48"/>
    <mergeCell ref="I48:K48"/>
    <mergeCell ref="B45:D45"/>
    <mergeCell ref="E45:F45"/>
    <mergeCell ref="I45:K45"/>
    <mergeCell ref="B46:D46"/>
    <mergeCell ref="E46:F46"/>
    <mergeCell ref="I46:K46"/>
    <mergeCell ref="B43:D43"/>
    <mergeCell ref="E43:F43"/>
    <mergeCell ref="I43:K43"/>
    <mergeCell ref="B44:D44"/>
    <mergeCell ref="E44:F44"/>
    <mergeCell ref="I44:K44"/>
    <mergeCell ref="B40:E40"/>
    <mergeCell ref="F40:H40"/>
    <mergeCell ref="K40:L40"/>
    <mergeCell ref="B42:D42"/>
    <mergeCell ref="E42:F42"/>
    <mergeCell ref="I42:K42"/>
    <mergeCell ref="C37:E37"/>
    <mergeCell ref="F37:H37"/>
    <mergeCell ref="K37:L37"/>
    <mergeCell ref="B38:L38"/>
    <mergeCell ref="B39:E39"/>
    <mergeCell ref="F39:H39"/>
    <mergeCell ref="K39:L39"/>
    <mergeCell ref="K34:L34"/>
    <mergeCell ref="C35:E35"/>
    <mergeCell ref="F35:H35"/>
    <mergeCell ref="K35:L35"/>
    <mergeCell ref="C36:E36"/>
    <mergeCell ref="F36:H36"/>
    <mergeCell ref="K36:L36"/>
    <mergeCell ref="C31:E31"/>
    <mergeCell ref="F31:H31"/>
    <mergeCell ref="K31:L31"/>
    <mergeCell ref="C32:L32"/>
    <mergeCell ref="B33:B37"/>
    <mergeCell ref="C33:E33"/>
    <mergeCell ref="F33:H33"/>
    <mergeCell ref="K33:L33"/>
    <mergeCell ref="C34:E34"/>
    <mergeCell ref="F34:H34"/>
    <mergeCell ref="K28:L28"/>
    <mergeCell ref="C29:E29"/>
    <mergeCell ref="F29:H29"/>
    <mergeCell ref="K29:L29"/>
    <mergeCell ref="C30:E30"/>
    <mergeCell ref="F30:H30"/>
    <mergeCell ref="K30:L30"/>
    <mergeCell ref="C25:E25"/>
    <mergeCell ref="F25:H25"/>
    <mergeCell ref="K25:L25"/>
    <mergeCell ref="C26:L26"/>
    <mergeCell ref="B27:B32"/>
    <mergeCell ref="C27:E27"/>
    <mergeCell ref="F27:H27"/>
    <mergeCell ref="K27:L27"/>
    <mergeCell ref="C28:E28"/>
    <mergeCell ref="F28:H28"/>
    <mergeCell ref="K22:L22"/>
    <mergeCell ref="C23:E23"/>
    <mergeCell ref="F23:H23"/>
    <mergeCell ref="K23:L23"/>
    <mergeCell ref="C24:E24"/>
    <mergeCell ref="F24:H24"/>
    <mergeCell ref="K24:L24"/>
    <mergeCell ref="B19:L19"/>
    <mergeCell ref="B20:B25"/>
    <mergeCell ref="C20:E20"/>
    <mergeCell ref="F20:H20"/>
    <mergeCell ref="K20:L20"/>
    <mergeCell ref="C21:E21"/>
    <mergeCell ref="F21:H21"/>
    <mergeCell ref="K21:L21"/>
    <mergeCell ref="C22:E22"/>
    <mergeCell ref="F22:H22"/>
    <mergeCell ref="I8:M8"/>
    <mergeCell ref="A13:M13"/>
    <mergeCell ref="A14:M14"/>
    <mergeCell ref="C15:K15"/>
    <mergeCell ref="A16:A18"/>
    <mergeCell ref="B16:E18"/>
    <mergeCell ref="F16:H18"/>
    <mergeCell ref="I16:I18"/>
    <mergeCell ref="K16:L18"/>
    <mergeCell ref="M16:M17"/>
    <mergeCell ref="F1:L1"/>
    <mergeCell ref="K2:M2"/>
    <mergeCell ref="I3:M3"/>
    <mergeCell ref="I4:M4"/>
    <mergeCell ref="K5:L5"/>
    <mergeCell ref="I6:M6"/>
  </mergeCells>
  <printOptions/>
  <pageMargins left="0.7480314960629921" right="0.2755905511811024" top="0.1968503937007874" bottom="0.2362204724409449" header="0.1968503937007874" footer="0.2362204724409449"/>
  <pageSetup horizontalDpi="600" verticalDpi="600" orientation="portrait" paperSize="9" scale="66" r:id="rId1"/>
  <rowBreaks count="1" manualBreakCount="1"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ГЛХУ Витебский 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Планово-экономический отдел</dc:creator>
  <cp:keywords/>
  <dc:description/>
  <cp:lastModifiedBy>user</cp:lastModifiedBy>
  <cp:lastPrinted>2019-12-10T08:05:54Z</cp:lastPrinted>
  <dcterms:created xsi:type="dcterms:W3CDTF">2007-12-21T14:01:39Z</dcterms:created>
  <dcterms:modified xsi:type="dcterms:W3CDTF">2019-12-10T08:05:59Z</dcterms:modified>
  <cp:category/>
  <cp:version/>
  <cp:contentType/>
  <cp:contentStatus/>
</cp:coreProperties>
</file>